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9995" windowHeight="8700" activeTab="9"/>
  </bookViews>
  <sheets>
    <sheet name="Biểu 35" sheetId="1" r:id="rId1"/>
    <sheet name="Biểu 37" sheetId="2" r:id="rId2"/>
    <sheet name="Biếu 39" sheetId="3" r:id="rId3"/>
    <sheet name="Biểu 41" sheetId="4" r:id="rId4"/>
    <sheet name="Biểu 45" sheetId="5" r:id="rId5"/>
    <sheet name="Biểu 47" sheetId="6" r:id="rId6"/>
    <sheet name="Biểu 49" sheetId="7" r:id="rId7"/>
    <sheet name="Biểu 51" sheetId="8" r:id="rId8"/>
    <sheet name="Biểu 53" sheetId="9" r:id="rId9"/>
    <sheet name="Biểu 54" sheetId="10" r:id="rId10"/>
    <sheet name="Sheet2" sheetId="11" r:id="rId11"/>
    <sheet name="Sheet1" sheetId="12" r:id="rId12"/>
  </sheets>
  <externalReferences>
    <externalReference r:id="rId15"/>
  </externalReferences>
  <definedNames>
    <definedName name="_xlnm.Print_Titles" localSheetId="2">'Biếu 39'!$4:$6</definedName>
    <definedName name="_xlnm.Print_Titles" localSheetId="4">'Biểu 45'!$5:$7</definedName>
    <definedName name="_xlnm.Print_Titles" localSheetId="6">'Biểu 49'!$5:$11</definedName>
    <definedName name="_xlnm.Print_Titles" localSheetId="8">'Biểu 53'!$4:$6</definedName>
    <definedName name="_xlnm.Print_Titles" localSheetId="11">'Sheet1'!$4:$5</definedName>
    <definedName name="_xlnm.Print_Titles" localSheetId="10">'Sheet2'!$6:$8</definedName>
  </definedNames>
  <calcPr fullCalcOnLoad="1"/>
</workbook>
</file>

<file path=xl/comments11.xml><?xml version="1.0" encoding="utf-8"?>
<comments xmlns="http://schemas.openxmlformats.org/spreadsheetml/2006/main">
  <authors>
    <author>USER</author>
  </authors>
  <commentList>
    <comment ref="J72" authorId="0">
      <text>
        <r>
          <rPr>
            <b/>
            <sz val="9"/>
            <rFont val="Tahoma"/>
            <family val="0"/>
          </rPr>
          <t>USER:</t>
        </r>
        <r>
          <rPr>
            <sz val="9"/>
            <rFont val="Tahoma"/>
            <family val="0"/>
          </rPr>
          <t xml:space="preserve">
Lấy theo số theo dõi của STC
</t>
        </r>
      </text>
    </comment>
  </commentList>
</comments>
</file>

<file path=xl/comments7.xml><?xml version="1.0" encoding="utf-8"?>
<comments xmlns="http://schemas.openxmlformats.org/spreadsheetml/2006/main">
  <authors>
    <author>Admin</author>
  </authors>
  <commentList>
    <comment ref="AA12" authorId="0">
      <text>
        <r>
          <rPr>
            <b/>
            <sz val="8"/>
            <rFont val="Tahoma"/>
            <family val="0"/>
          </rPr>
          <t>Admin:</t>
        </r>
        <r>
          <rPr>
            <sz val="8"/>
            <rFont val="Tahoma"/>
            <family val="0"/>
          </rPr>
          <t xml:space="preserve">
HCSN 1.569.510.505.960
NS:        165.401.502.075
ĐT:        841.017.101.824</t>
        </r>
      </text>
    </comment>
    <comment ref="AJ12" authorId="0">
      <text>
        <r>
          <rPr>
            <b/>
            <sz val="8"/>
            <rFont val="Tahoma"/>
            <family val="0"/>
          </rPr>
          <t>Admin:</t>
        </r>
        <r>
          <rPr>
            <sz val="8"/>
            <rFont val="Tahoma"/>
            <family val="0"/>
          </rPr>
          <t xml:space="preserve">
HCSN 70.909
NS:     3.000</t>
        </r>
      </text>
    </comment>
    <comment ref="AL12" authorId="0">
      <text>
        <r>
          <rPr>
            <b/>
            <sz val="8"/>
            <rFont val="Tahoma"/>
            <family val="0"/>
          </rPr>
          <t>Admin:</t>
        </r>
        <r>
          <rPr>
            <sz val="8"/>
            <rFont val="Tahoma"/>
            <family val="0"/>
          </rPr>
          <t xml:space="preserve">
NS: 5.650</t>
        </r>
      </text>
    </comment>
    <comment ref="AN12" authorId="0">
      <text>
        <r>
          <rPr>
            <b/>
            <sz val="8"/>
            <rFont val="Tahoma"/>
            <family val="0"/>
          </rPr>
          <t>Admin:</t>
        </r>
        <r>
          <rPr>
            <sz val="8"/>
            <rFont val="Tahoma"/>
            <family val="0"/>
          </rPr>
          <t xml:space="preserve">
HCNS: 634.835
NS:        1.110</t>
        </r>
      </text>
    </comment>
    <comment ref="AS12" authorId="0">
      <text>
        <r>
          <rPr>
            <b/>
            <sz val="8"/>
            <rFont val="Tahoma"/>
            <family val="0"/>
          </rPr>
          <t>Admin:</t>
        </r>
        <r>
          <rPr>
            <sz val="8"/>
            <rFont val="Tahoma"/>
            <family val="0"/>
          </rPr>
          <t xml:space="preserve">
HCSN: 240.548
NS:       56.125</t>
        </r>
      </text>
    </comment>
    <comment ref="AT12" authorId="0">
      <text>
        <r>
          <rPr>
            <b/>
            <sz val="8"/>
            <rFont val="Tahoma"/>
            <family val="0"/>
          </rPr>
          <t>Admin:</t>
        </r>
        <r>
          <rPr>
            <sz val="8"/>
            <rFont val="Tahoma"/>
            <family val="0"/>
          </rPr>
          <t xml:space="preserve">
HCSN:   22.498
NS:       15.934</t>
        </r>
      </text>
    </comment>
    <comment ref="AW12" authorId="0">
      <text>
        <r>
          <rPr>
            <b/>
            <sz val="8"/>
            <rFont val="Tahoma"/>
            <family val="0"/>
          </rPr>
          <t>Admin:</t>
        </r>
        <r>
          <rPr>
            <sz val="8"/>
            <rFont val="Tahoma"/>
            <family val="0"/>
          </rPr>
          <t xml:space="preserve">
HCSN:   9.166
NS:      15.989
Trả NHPT: 56.655
Dự trữ TC: 1.000</t>
        </r>
      </text>
    </comment>
    <comment ref="AY12" authorId="0">
      <text>
        <r>
          <rPr>
            <b/>
            <sz val="8"/>
            <rFont val="Tahoma"/>
            <family val="0"/>
          </rPr>
          <t>Admin:</t>
        </r>
        <r>
          <rPr>
            <sz val="8"/>
            <rFont val="Tahoma"/>
            <family val="0"/>
          </rPr>
          <t xml:space="preserve">
HCSN: 29.098
NS: 6.324
ĐT: 35.760</t>
        </r>
      </text>
    </comment>
    <comment ref="BA12" authorId="0">
      <text>
        <r>
          <rPr>
            <b/>
            <sz val="8"/>
            <rFont val="Tahoma"/>
            <family val="0"/>
          </rPr>
          <t>Admin:</t>
        </r>
        <r>
          <rPr>
            <sz val="8"/>
            <rFont val="Tahoma"/>
            <family val="0"/>
          </rPr>
          <t xml:space="preserve">
HCSN: 26.337
NS:  3.614
ĐT: 483.183</t>
        </r>
      </text>
    </comment>
  </commentList>
</comments>
</file>

<file path=xl/sharedStrings.xml><?xml version="1.0" encoding="utf-8"?>
<sst xmlns="http://schemas.openxmlformats.org/spreadsheetml/2006/main" count="2924" uniqueCount="1715">
  <si>
    <t>Thu ngân sách địa phương hưởng theo phân cấp</t>
  </si>
  <si>
    <t xml:space="preserve"> - Các khoản thu NSĐP hưởng 100%</t>
  </si>
  <si>
    <t xml:space="preserve"> - Các khoản thu phân chia NSĐP hưởng theo tỷ lệ %</t>
  </si>
  <si>
    <t>Vay huy động đầu tư theo K3Đ8 Luật NSNN</t>
  </si>
  <si>
    <t>Các khoản thu để lại đơn vị quản lý qua ngân sách</t>
  </si>
  <si>
    <t>C</t>
  </si>
  <si>
    <t>Chi ngân sách địa phương</t>
  </si>
  <si>
    <t>Chi trả nợ gốc, lãi huy động ĐT theo K3-Đ8 luật NSNN</t>
  </si>
  <si>
    <t>Dự phòng NS</t>
  </si>
  <si>
    <t>Chi bổ sung quỹ dự trữ TC</t>
  </si>
  <si>
    <t>Chi nộp lên ngân sách cấp trên</t>
  </si>
  <si>
    <t>Chi chuyển nguồn sang năm sau</t>
  </si>
  <si>
    <t>Chi từ nguồn thu để lại quản lý qua ngân sách</t>
  </si>
  <si>
    <t xml:space="preserve"> - Đường ra biên giới Nậm Nhừ - mốc 43 xã Nà Khoa </t>
  </si>
  <si>
    <t>5,6 km</t>
  </si>
  <si>
    <t>Đầu tư bệnh viện tuyến tỉnh, huyện</t>
  </si>
  <si>
    <t xml:space="preserve"> Chuyển tiếp</t>
  </si>
  <si>
    <t xml:space="preserve"> - Phòng khám quản lý BVSK cán bộ tỉnh</t>
  </si>
  <si>
    <t>100 GB</t>
  </si>
  <si>
    <t xml:space="preserve"> - NC, CT khu điều trị phong K10 Nậm Zin, huyện Tuần Giáo</t>
  </si>
  <si>
    <t>2015-2016</t>
  </si>
  <si>
    <t xml:space="preserve"> - CT, NC trung tâm y tế dự phòng tỉnh Điện Biên</t>
  </si>
  <si>
    <t>Đầu tư phát triển tuyến biên giới KT - XH Việt - Trung</t>
  </si>
  <si>
    <t xml:space="preserve"> - Dự án nhóm B</t>
  </si>
  <si>
    <t xml:space="preserve"> - Đường Sen Thượng - Lò San Chái</t>
  </si>
  <si>
    <t>M.Nhé</t>
  </si>
  <si>
    <t>19.515,9 m</t>
  </si>
  <si>
    <t>TB 03 + TB 47</t>
  </si>
  <si>
    <t xml:space="preserve"> - Thủy lợi Pờ Nhù Khò</t>
  </si>
  <si>
    <t>50 ha</t>
  </si>
  <si>
    <t>Hỗ trợ dự án cấp bách khác của địa phương</t>
  </si>
  <si>
    <t xml:space="preserve"> - NC, cải tạo đường Nà Nhạn - Mường Phăng</t>
  </si>
  <si>
    <t>2014-2016</t>
  </si>
  <si>
    <t>Chương trình hỗ trợ dân tộc ít người theo Quyết định 1672/QĐ-TTg (dân tộc Cống)</t>
  </si>
  <si>
    <t xml:space="preserve"> - Cầu treo Bản Lả Chả, xã Pa Tần, huyện M.Nhé</t>
  </si>
  <si>
    <t>120 m</t>
  </si>
  <si>
    <t xml:space="preserve"> - Đường giao thông Pa Thơm-Huổi Moi (gđ I) bản Huổi Moi xã Pa Thơm </t>
  </si>
  <si>
    <t>H Điện Biên</t>
  </si>
  <si>
    <t>11,3 km</t>
  </si>
  <si>
    <t xml:space="preserve"> - Đường giao thông giai đoạn I Bản Lả Chả, xã Pa Tần, </t>
  </si>
  <si>
    <t>7,5 km</t>
  </si>
  <si>
    <t>Sắp xếp ổn định dân di cư tự do huyện M.Nhé</t>
  </si>
  <si>
    <t xml:space="preserve"> - Đường vào bản huổi nụ 2</t>
  </si>
  <si>
    <t xml:space="preserve"> - Đường Mường Toong - Huổi Lếch - Nậm Mỳ</t>
  </si>
  <si>
    <t xml:space="preserve"> - Đường vào bản Huổi Ban - Huổi Cấu xã Nậm Vì</t>
  </si>
  <si>
    <t xml:space="preserve"> - Đường từ TT xã Na Cô Sa - bản Huổi Thủng 3</t>
  </si>
  <si>
    <t xml:space="preserve"> - Đường vào bản Huổi Lích 1</t>
  </si>
  <si>
    <t xml:space="preserve"> - Đường Huổi Hộc - Huổi Hẹt xã Nậm Kè</t>
  </si>
  <si>
    <t xml:space="preserve"> - Đường Pá Lùng - Xà Quế</t>
  </si>
  <si>
    <t xml:space="preserve"> - Đường vào bản Huổi Khương</t>
  </si>
  <si>
    <t xml:space="preserve"> - Đường vào bản Mường Toong 10</t>
  </si>
  <si>
    <t xml:space="preserve"> - Nước sinh hoạt bản Mường Toong 10</t>
  </si>
  <si>
    <t>31,84 km</t>
  </si>
  <si>
    <t xml:space="preserve"> - Đường Huổi Khương - Huổi Dạo</t>
  </si>
  <si>
    <t>13,639 km</t>
  </si>
  <si>
    <t xml:space="preserve"> - Thủy lợi Púng Ham Xoong 1,2 xã Nà bủng</t>
  </si>
  <si>
    <t xml:space="preserve"> - Đường vào bản Hô Hài xã Chà Cang</t>
  </si>
  <si>
    <t xml:space="preserve"> - Thủy lợi Huổi lích 2 xã Pá Mỳ</t>
  </si>
  <si>
    <t>QĐ 969</t>
  </si>
  <si>
    <t xml:space="preserve"> - Thủy lợi bản Nậm Mỳ</t>
  </si>
  <si>
    <t>Dự án khởi công mới</t>
  </si>
  <si>
    <t xml:space="preserve"> - Đường vào bản Lò Sen Chái xã Sen Thượng</t>
  </si>
  <si>
    <t>QĐ 72</t>
  </si>
  <si>
    <t xml:space="preserve"> - Đường vào bản Mường Toong 7 xã Mường Toong</t>
  </si>
  <si>
    <t xml:space="preserve"> - Đường vào bản Mường Toong 8 xã Mường Toong</t>
  </si>
  <si>
    <t xml:space="preserve"> - Nước sinh hoạt bản Mường Toong 8 xã Mường Toong </t>
  </si>
  <si>
    <t xml:space="preserve"> - Nhà lớp học bản Mường Toong 9 xã Mường Toong </t>
  </si>
  <si>
    <t xml:space="preserve"> - Nhà lớp học bản Mường Toong 6 xã Mường Toong </t>
  </si>
  <si>
    <t xml:space="preserve"> - Lớp học tại bản Nậm pồ Con xã Nà khoa </t>
  </si>
  <si>
    <t xml:space="preserve"> - Nhà lớp học bản Mường Toong 7 xã Mường Toong </t>
  </si>
  <si>
    <t xml:space="preserve"> - Nhà lớp học bản Hua Sin 1 và Hua Sin 2 xã Chung Chải </t>
  </si>
  <si>
    <t xml:space="preserve"> - Đường, cầu vào bản Húi To 1,2</t>
  </si>
  <si>
    <t>QĐ 553</t>
  </si>
  <si>
    <t xml:space="preserve"> - Nhà lớp học bản Mường Toong 4</t>
  </si>
  <si>
    <t xml:space="preserve"> - Nhà lớp học bản Mường Toong 5</t>
  </si>
  <si>
    <t xml:space="preserve"> - Thủy lợi Tá Sú Lình ( Lỳ Mà Tá 2)</t>
  </si>
  <si>
    <t xml:space="preserve"> - Đường vào bản Mường Toong 5</t>
  </si>
  <si>
    <t xml:space="preserve"> - Đường vào bản Mường Toong 4</t>
  </si>
  <si>
    <t xml:space="preserve"> - Nước sinh hoạt Mường Toong 9</t>
  </si>
  <si>
    <t xml:space="preserve"> - Thủy lợi bản Lò San Chái</t>
  </si>
  <si>
    <t xml:space="preserve"> - Nhà lớp học bản Húi To 1 và Húi To 2</t>
  </si>
  <si>
    <t xml:space="preserve"> - Nhà lớp học 2 phòng +1 phòng công vụ bản Mường Toong 8</t>
  </si>
  <si>
    <t xml:space="preserve"> - Đường vào bản Tàng Phon xã Quảng Lâm</t>
  </si>
  <si>
    <t xml:space="preserve"> - Nhà lớp học bản Tả Sú Lình ( Lỳ Mà Tá 2) xã Sín thầu</t>
  </si>
  <si>
    <t xml:space="preserve"> - Thủy lợi Cà Là Pá xã Leng Su Sìn</t>
  </si>
  <si>
    <t xml:space="preserve"> - NSH Cà Là Pá 1 xã Leng Su Sìn</t>
  </si>
  <si>
    <t xml:space="preserve"> - NSH bản Lò San Chái</t>
  </si>
  <si>
    <t xml:space="preserve"> - NSH bản Nậm Là 2 và bản Tân Phong</t>
  </si>
  <si>
    <t xml:space="preserve"> - NSH bản Húi To 1 và Húi To 2</t>
  </si>
  <si>
    <t xml:space="preserve"> - Nhà lớp học bản Huổi Lích 1</t>
  </si>
  <si>
    <t xml:space="preserve"> - Nhà lớp học bản Lò San Chái</t>
  </si>
  <si>
    <t xml:space="preserve"> - Nâng cấp đường vào bản Nộc Cốc 2</t>
  </si>
  <si>
    <t xml:space="preserve"> - NSH bản Huổi Lắp </t>
  </si>
  <si>
    <t xml:space="preserve"> - Nhà lớp học bản Tân Phong, xã Mường Nhé</t>
  </si>
  <si>
    <t>QĐ 1210</t>
  </si>
  <si>
    <t xml:space="preserve"> - Đường giao thông vào bản Huổi Ban, xã Mường Nhé</t>
  </si>
  <si>
    <t xml:space="preserve"> - Nhà lớp học bản Gia Chứ, xã Leng Su Sìn,</t>
  </si>
  <si>
    <t xml:space="preserve"> - Cầu treo bản Na Cô Sa III, xã Na Cô Sa, huyện Nậm Pồ</t>
  </si>
  <si>
    <t xml:space="preserve"> - Cầu treo bản Na Cô Sa II, xã Na Cô Sa, huyện Nậm Pồ</t>
  </si>
  <si>
    <t xml:space="preserve"> - Thủy lợi Pa Tần 2, xã Pa Tần, huyện Nậm Pồ</t>
  </si>
  <si>
    <t xml:space="preserve"> - Thủy lợi Nậm Chua 3, xã Nậm Nhừ, huyện Nậm Pồ</t>
  </si>
  <si>
    <t xml:space="preserve"> - Cấp NSH bản Huổi Lụ 1, xã Nà Khoa, huyện Nậm Pồ</t>
  </si>
  <si>
    <t xml:space="preserve"> - Đường và cầu treo Nậm kè 1 - Huổi Thanh 1 - Huổi Đá, xã Nậm Kè</t>
  </si>
  <si>
    <t xml:space="preserve"> - Nhà lớp học bản Cà Là Pá, Cà Là Pá 1, xã Leng Su Sìn, </t>
  </si>
  <si>
    <t xml:space="preserve"> - Đường giao thông vào bản Cà Lá Pá và bản cà Lá Pá 1</t>
  </si>
  <si>
    <t xml:space="preserve"> - NSH bản Huổi Púng, xã Pa Tần, huyện Nậm Pồ</t>
  </si>
  <si>
    <t xml:space="preserve"> - Nhà lớp học bản Huổi Tre, xã Pa tần, huyện Nậm Pồ</t>
  </si>
  <si>
    <t xml:space="preserve"> - Nhà lớp học bản Tàng Phon, xã Quảng Lâm</t>
  </si>
  <si>
    <t xml:space="preserve"> - Nhà lớp học bản Huổi Lắp, xã Quảng Lâm</t>
  </si>
  <si>
    <t xml:space="preserve"> - Thủy lợi bản Huổi Thanh 1, xã Nậm Kè </t>
  </si>
  <si>
    <t xml:space="preserve"> - Nhà lớp học bản Huổi Thanh 1, xã Nậm Kè</t>
  </si>
  <si>
    <t xml:space="preserve"> - Thủy lợi bản Chuyên Gia 3 (Huổi Đá), xã Nậm Kè</t>
  </si>
  <si>
    <t xml:space="preserve"> MNhé</t>
  </si>
  <si>
    <t xml:space="preserve"> - Nước sinh hoạt bản Dền Thàng, xã Quảng Lâm</t>
  </si>
  <si>
    <t xml:space="preserve"> - Nước sinh hoạt bản Co Lót 2, xã Mường Nhé</t>
  </si>
  <si>
    <t xml:space="preserve"> - Thủy lợi Nà Khuyết (Phiêng Chuông, Phiêng Ban), xã Chà Cang</t>
  </si>
  <si>
    <t xml:space="preserve"> - Nước sinh hoạt bản Chuyên Gia 3, xã Nậm Kè</t>
  </si>
  <si>
    <t xml:space="preserve"> - Nhà lớp học bản Nậm Tin 1, xã Nậm Tin</t>
  </si>
  <si>
    <t xml:space="preserve"> Nậm Pồ</t>
  </si>
  <si>
    <t xml:space="preserve"> - Nước sinh hoạt bản Pá Lúng, xã Chung Chải</t>
  </si>
  <si>
    <t xml:space="preserve"> - Nước sinh hoạt bản Xà Quế, xã Chung Chải</t>
  </si>
  <si>
    <t xml:space="preserve"> - Nước sinh hoạt bản Huổi Lụ 1, xã Pá Mỳ</t>
  </si>
  <si>
    <t xml:space="preserve"> - Nước sinh hoạt bản Pá Mỳ 3, xã Pá Mỳ</t>
  </si>
  <si>
    <t xml:space="preserve"> - Kênh nội đồng Nậm Pồ 1+2+3, xã Mường Nhé</t>
  </si>
  <si>
    <t xml:space="preserve"> - Nước sinh hoạt bản Gia Chứ</t>
  </si>
  <si>
    <t xml:space="preserve"> - Đường vào bản Húi To</t>
  </si>
  <si>
    <t xml:space="preserve"> - Nước sinh hoạt bản Huổi Lích 1</t>
  </si>
  <si>
    <t xml:space="preserve"> - Đường vào bản Gia chứ</t>
  </si>
  <si>
    <t xml:space="preserve"> - Đường từ bản Nậm Pan 1 đến bản Nậm Hạ xã Mường Toong</t>
  </si>
  <si>
    <t xml:space="preserve"> - Đường vào bản Huổi Lụ 2 xã Nà Khoa</t>
  </si>
  <si>
    <t xml:space="preserve"> - Nhà lớp học Bản Huổi Lích 2</t>
  </si>
  <si>
    <t xml:space="preserve"> - Đường Pá Lùng - Xà Quế xã Chung Chải</t>
  </si>
  <si>
    <t xml:space="preserve"> - Thủy Lợi Hô Hài (Hua Hài)</t>
  </si>
  <si>
    <t xml:space="preserve"> - Đường vào bản Hô Hài( Hua hài ) xã Chà Cang</t>
  </si>
  <si>
    <t xml:space="preserve"> - Thủy lợi bản Ngải Thầu 2 xã Nà Bủng</t>
  </si>
  <si>
    <t xml:space="preserve"> - Nước sinh hoạt bản Huổi Ban</t>
  </si>
  <si>
    <t xml:space="preserve"> - Nước sinh hoạt bản Tàng Phon</t>
  </si>
  <si>
    <t xml:space="preserve"> - Đường vào Bản Nậm Kè 2</t>
  </si>
  <si>
    <t xml:space="preserve"> - Nước sinh hoạt Bản Nậm kè 2</t>
  </si>
  <si>
    <t xml:space="preserve"> - Đường vào bản Hua Sin 1 và Hua Sin 2</t>
  </si>
  <si>
    <t xml:space="preserve"> - Hỗ trợ tiền làm nhà</t>
  </si>
  <si>
    <t>Hỗ trợ đẩu tư hạ tầng khu kinh tế cửa khẩu</t>
  </si>
  <si>
    <t xml:space="preserve"> - Đường Tây Trang - Pa Thơm</t>
  </si>
  <si>
    <t>7,8 km</t>
  </si>
  <si>
    <t xml:space="preserve"> - Đường Tây Trang -  Bản Pa Thơm</t>
  </si>
  <si>
    <t>2015-2019</t>
  </si>
  <si>
    <t>HT giống cây trồng, vật nuôi, giống cây lâm nghiệp, thủy sản</t>
  </si>
  <si>
    <t xml:space="preserve">  - Dự án Trại sản xuất cong giống và chuyển giao kỹ thuật chăn nuôi tỉnh Điện Biên (GĐ I)</t>
  </si>
  <si>
    <t>Vốn đối ứng ODA và các dự án giảm nghèo</t>
  </si>
  <si>
    <t>13.1</t>
  </si>
  <si>
    <t xml:space="preserve"> - Vốn đối ứng DA</t>
  </si>
  <si>
    <t xml:space="preserve"> - Vốn đối ứng dự án RE I+II (Xã huổi lèng -M chà)</t>
  </si>
  <si>
    <t xml:space="preserve"> - Đền bù GPMB DA đường Ma Thì Hồ - Chà Tở</t>
  </si>
  <si>
    <t xml:space="preserve"> - Đường Phì Nhừ Xa dung</t>
  </si>
  <si>
    <t xml:space="preserve"> - Dự án đường Chà Tở - Mường Tùng</t>
  </si>
  <si>
    <t>2010-2013</t>
  </si>
  <si>
    <t>56km</t>
  </si>
  <si>
    <t>TB 12</t>
  </si>
  <si>
    <t>13.2</t>
  </si>
  <si>
    <t xml:space="preserve">Vốn đối dự án giảm nghèo các huyện </t>
  </si>
  <si>
    <t xml:space="preserve"> - Chí Ban quản lý dự án các huyện MẢng, MChà, ĐBiên Đông</t>
  </si>
  <si>
    <t>Nguồn dự phòng ngân sách Trung ương</t>
  </si>
  <si>
    <t xml:space="preserve"> - Kè bảo vệ bờ suối khu vực mốc 14 trên tuyến bgđl vn-tq</t>
  </si>
  <si>
    <t xml:space="preserve"> - Đảm bảo GT đường tuần tra biên giới từ Nà Bủng - Mốc 49</t>
  </si>
  <si>
    <t>QĐ 1212</t>
  </si>
  <si>
    <t xml:space="preserve"> - Nâng cấp đường cứu hộ, cứu nạn Nà hỳ- Nà bủng</t>
  </si>
  <si>
    <t xml:space="preserve"> - Kè khu vực mốc 16 (3) xã Sen Thượng </t>
  </si>
  <si>
    <t xml:space="preserve"> - Khắc phục sự cố sạt lở tuyến giao thông tuần tra biên giới </t>
  </si>
  <si>
    <t xml:space="preserve"> - Sửa chữa thủy nông Chiềng Sinh 2 xã Chiềng Đông </t>
  </si>
  <si>
    <t xml:space="preserve"> - Kè chống sạt lở khu dân cư trung tâm xã Thanh luông</t>
  </si>
  <si>
    <t>H ĐBiên</t>
  </si>
  <si>
    <t>BS vốn ĐTPT từ kết dư NSTƯ 2010</t>
  </si>
  <si>
    <t xml:space="preserve"> - Kè chống sạt lở khu vực thị trấn Mường Ảng</t>
  </si>
  <si>
    <t>Hỗ trợ đồng bào thiểu số ít người (DT Sila)</t>
  </si>
  <si>
    <t xml:space="preserve"> - Nhà sinh hoạt cộng đồng và nhà ở giáo viên</t>
  </si>
  <si>
    <t>Vốn đầu tư khác theo NQQH</t>
  </si>
  <si>
    <t xml:space="preserve"> - Đường Phì Nhừ Phình Giàng</t>
  </si>
  <si>
    <t xml:space="preserve">                                                                            Phụ lục số 8-Biểu số 03</t>
  </si>
  <si>
    <t xml:space="preserve">  QUYẾT TOÁN CHI  NGÂN SÁCH ĐỊA PHƯƠNG NĂM 2015</t>
  </si>
  <si>
    <t>Số TT</t>
  </si>
  <si>
    <t>DỰ TOÁN NĂM</t>
  </si>
  <si>
    <t xml:space="preserve">SỐ QUYẾT TOÁN </t>
  </si>
  <si>
    <t>SO SÁNH QT/DT (%)</t>
  </si>
  <si>
    <t>Chi cân đối ngân sách</t>
  </si>
  <si>
    <t>Trong đó: Chi đầu tư cho GD-ĐT và dạy nghề</t>
  </si>
  <si>
    <t xml:space="preserve">                   Đầu tư khoa học và công nghệ</t>
  </si>
  <si>
    <t xml:space="preserve"> - Chi đầu tư XDCB tập trung</t>
  </si>
  <si>
    <t xml:space="preserve"> - Chi từ nguồn vốn vay </t>
  </si>
  <si>
    <t xml:space="preserve"> - Chi đầu tư từ nguồn vốn vay kho bạc</t>
  </si>
  <si>
    <t xml:space="preserve"> - Chi đầu tư từ nguồn thu sử dụng đất và đấu giá đất</t>
  </si>
  <si>
    <t xml:space="preserve"> - Chi đầu tư và hỗ trợ doanh nghiệp cung cấp hàng hóa, dịch vụ công ích</t>
  </si>
  <si>
    <t>Chi trả nợ gốc, lãi huy động ĐT cơ sở hạ tầng</t>
  </si>
  <si>
    <t>3.1</t>
  </si>
  <si>
    <t>Chi an ninh-QP</t>
  </si>
  <si>
    <t xml:space="preserve"> - Chi an ninh</t>
  </si>
  <si>
    <t xml:space="preserve">  - Chi quốc phòng</t>
  </si>
  <si>
    <t>3.2</t>
  </si>
  <si>
    <t>Chi sự nghiệp giáo dục-Đạo tạo và dạy nghề</t>
  </si>
  <si>
    <t xml:space="preserve">  - Sự nghiệp giáo dục</t>
  </si>
  <si>
    <t xml:space="preserve">  - Sự nghiệp đào tạo và dạy nghề</t>
  </si>
  <si>
    <t xml:space="preserve"> - Đào tạo khác</t>
  </si>
  <si>
    <t>3.3</t>
  </si>
  <si>
    <t>Sự nghiệp y tế</t>
  </si>
  <si>
    <t>Trong đó: KP mua thẻ BHYT cho người nghèo, người dân tộc thiểu số…</t>
  </si>
  <si>
    <t xml:space="preserve">                   KP mua thẻ BHYT cho trẻ em dưới 6 tuổi</t>
  </si>
  <si>
    <t>3.4</t>
  </si>
  <si>
    <t xml:space="preserve"> Sự nghiệp khoa học công nghệ</t>
  </si>
  <si>
    <t>3.5</t>
  </si>
  <si>
    <t xml:space="preserve"> Sự nghiệp văn hoá thông tin</t>
  </si>
  <si>
    <t>3.6</t>
  </si>
  <si>
    <t xml:space="preserve"> Sự nghiệp phát thanh-truyền hình</t>
  </si>
  <si>
    <t>3.7</t>
  </si>
  <si>
    <t xml:space="preserve"> Sự nghiệp thể thao</t>
  </si>
  <si>
    <t>3.8</t>
  </si>
  <si>
    <t>Chi đảm bảo xã hội</t>
  </si>
  <si>
    <t>3.9</t>
  </si>
  <si>
    <t xml:space="preserve"> Chi sự nghiệp kinh tế</t>
  </si>
  <si>
    <t xml:space="preserve"> -  SN nông nghiệp, lâm nghiệp, thủy lợi</t>
  </si>
  <si>
    <t xml:space="preserve"> -  Sự nghiệp giao thông</t>
  </si>
  <si>
    <t xml:space="preserve"> -  Sự nghiệp thuỷ sản</t>
  </si>
  <si>
    <t xml:space="preserve"> - Kiến thiết thị chính</t>
  </si>
  <si>
    <t xml:space="preserve"> -  Sự nghiệp kinh tế khác</t>
  </si>
  <si>
    <t>3.10</t>
  </si>
  <si>
    <t>Chi sự nghiệp môi trường</t>
  </si>
  <si>
    <t>3.11</t>
  </si>
  <si>
    <t>Chi trợ giá các mặt hàng chính sách</t>
  </si>
  <si>
    <t>3.12</t>
  </si>
  <si>
    <t xml:space="preserve"> - Quản lý nhà nước</t>
  </si>
  <si>
    <t xml:space="preserve"> - HĐ của các cơ quan Đảng và các tổ chức CTXH</t>
  </si>
  <si>
    <t xml:space="preserve"> - Hỗ trợ hội , đoàn thể</t>
  </si>
  <si>
    <t>3.13</t>
  </si>
  <si>
    <t xml:space="preserve"> - Chi trả các khoản thu năm trước</t>
  </si>
  <si>
    <t xml:space="preserve"> - Hỗ  trợ công tác thu</t>
  </si>
  <si>
    <t xml:space="preserve"> - Bảo hiểm thất nghiệp</t>
  </si>
  <si>
    <t xml:space="preserve"> - Kinh phí 160</t>
  </si>
  <si>
    <t xml:space="preserve"> - Quỹ hoàn lương</t>
  </si>
  <si>
    <t xml:space="preserve"> - Cải cách hành chính từ nguồn viện trợ Đam Mạch (Nộp trả Nhà tài trợ)</t>
  </si>
  <si>
    <t xml:space="preserve"> - Bổ sung có mục tiêu (Vốn nước ngoài, 1% BHXH, tăng biên chế)</t>
  </si>
  <si>
    <t xml:space="preserve">  - KP hỗ trợ khác</t>
  </si>
  <si>
    <t>3.14</t>
  </si>
  <si>
    <t>Chi tạo nguồn làm lương</t>
  </si>
  <si>
    <t>Thu bổ sung quỹ dự trữ TC</t>
  </si>
  <si>
    <t>Chi từ nguồn thu để lại đơn vị Ql qua ngân sách</t>
  </si>
  <si>
    <t>Chi đầu tư</t>
  </si>
  <si>
    <t xml:space="preserve"> - Đầu tư từ nguồn thu Xổ Số</t>
  </si>
  <si>
    <t xml:space="preserve"> +  Chi đầu tư cho các trạm y tế xã</t>
  </si>
  <si>
    <t xml:space="preserve"> + Đầu tư cơ sở vật chất cho các trường học</t>
  </si>
  <si>
    <t xml:space="preserve"> - Đầu từ từ nguồn huy động đóng góp</t>
  </si>
  <si>
    <t xml:space="preserve"> + SN giao thông </t>
  </si>
  <si>
    <t xml:space="preserve"> + XD cơ sở vật chất cho các trường học</t>
  </si>
  <si>
    <t xml:space="preserve"> +  Chi đầu tư cho Trung  tâm y tế Mường Ảng</t>
  </si>
  <si>
    <t xml:space="preserve"> + Hỗ trợ tiền làm nhà theo Quyết định 167</t>
  </si>
  <si>
    <t xml:space="preserve"> - Quốc phòng</t>
  </si>
  <si>
    <t>Chi sự nghiệp giáo dục -Đào tạo và dạy nghề</t>
  </si>
  <si>
    <t xml:space="preserve"> - Sự nghiệp giáo dục</t>
  </si>
  <si>
    <t xml:space="preserve"> - Sự nghiệp đào tạo và dạy nghề</t>
  </si>
  <si>
    <t>Đảm bảo xã hội</t>
  </si>
  <si>
    <t xml:space="preserve"> - Hỗ trợ hội</t>
  </si>
  <si>
    <t>Sự nghiệp môi trường</t>
  </si>
  <si>
    <t>Chi sự nghiệp kinh tế</t>
  </si>
  <si>
    <t xml:space="preserve"> - Sự nghiệp thủy lợi</t>
  </si>
  <si>
    <t xml:space="preserve"> - Sự nghiệp giao thông</t>
  </si>
  <si>
    <t xml:space="preserve"> - Sự nghiệp kinh tế khác</t>
  </si>
  <si>
    <t>Chi trả ngân sách TW</t>
  </si>
  <si>
    <t xml:space="preserve"> - Chuyển trả ngân sách ngân sách TW theo Công văn 3157/UBND-NN ngày 04/9/2015 của UBND tỉnh</t>
  </si>
  <si>
    <t xml:space="preserve"> - Chuyển trả NSTW theo Kết luận của KTNN</t>
  </si>
  <si>
    <t>Chi trả ngân sách tỉnh theo KL của KTNN</t>
  </si>
  <si>
    <t xml:space="preserve"> - Nộp trả KP cải tạo sau khai hoang theo KL của KTNN</t>
  </si>
  <si>
    <t xml:space="preserve"> - Cấp bù, miễn giảm học phí khối đào tạo theo KL của KTNN</t>
  </si>
  <si>
    <t xml:space="preserve"> - Sự nghiệp 193-1776 (Quyết định số: 991/QĐ-UBND ngày 09/10/2015</t>
  </si>
  <si>
    <t>Chi trả ngân sách huyện</t>
  </si>
  <si>
    <t xml:space="preserve"> - Đầu tư cơ sở hạ tầng các xã ĐBKK (Vốn ĐT)</t>
  </si>
  <si>
    <t xml:space="preserve"> - Duy tu bảo dưỡng công trình sau ĐT các xã ĐBKK</t>
  </si>
  <si>
    <t>Phụ lục 06- Biểu số 54</t>
  </si>
  <si>
    <t>QUYẾT TOÁN HUY ĐỘNG ĐẦU TƯ NĂM 2015</t>
  </si>
  <si>
    <t>GHI CHÚ</t>
  </si>
  <si>
    <t>Vốn đầu tư XDCB trong nước của ngân sách cấp tỉnh (không kể vốn đầu tư bổ sung có mục tiêu không có tính chất ổn định thường xuyên từ ngân sách TW cho ngân sách tỉnh)</t>
  </si>
  <si>
    <t>Mức tối đa huy động theo chế độ</t>
  </si>
  <si>
    <t xml:space="preserve">Tổng dư nợ tiền vay </t>
  </si>
  <si>
    <t xml:space="preserve"> - Vay Kho bạc Nhà nước</t>
  </si>
  <si>
    <t xml:space="preserve"> - Vay Chi nhánh Ngân hàng Phát triển</t>
  </si>
  <si>
    <t xml:space="preserve"> + Kiên cố hóa kênh mương, giao thông nông thôn, hạ tầng làng nghề, hạ tầng nuôi trồng thủy sản</t>
  </si>
  <si>
    <t xml:space="preserve"> + Lưới điện nông thôn (RELL II)</t>
  </si>
  <si>
    <t>Số trả nợ tiền vay trong năm</t>
  </si>
  <si>
    <t xml:space="preserve"> + Trả phí tạm ứng vốn nhàn rỗi Kho bạc nhà nước</t>
  </si>
  <si>
    <t xml:space="preserve"> + Trả gốc vốn nhàn rỗi Kho bạc nhà nước</t>
  </si>
  <si>
    <t>Số phát sinh vay trong năm</t>
  </si>
  <si>
    <t xml:space="preserve"> - Thuỷ lợi xuân lao</t>
  </si>
  <si>
    <t>HT xử lý XD chống sạt lở, đê kè, chống lụt bão</t>
  </si>
  <si>
    <t xml:space="preserve"> - Kè chống sạt lở khu TT xã Thanh Luông </t>
  </si>
  <si>
    <t xml:space="preserve"> ĐBiên</t>
  </si>
  <si>
    <t xml:space="preserve"> - Kè chống sạt lở khu TT dân cư khu vực thị trấn TGiáo</t>
  </si>
  <si>
    <t xml:space="preserve"> - Kè chống sạt lở suối Nậm cô( búng lao)</t>
  </si>
  <si>
    <t>Vốn kỷ niệm 50 năm CTĐBP</t>
  </si>
  <si>
    <t xml:space="preserve"> - Các tuyến nhánh đường nội thị thị xã Điện biên phủ</t>
  </si>
  <si>
    <t xml:space="preserve"> - Đường 27m Trung tâm III thị xã ĐBP</t>
  </si>
  <si>
    <t xml:space="preserve"> - Xây dựng tượng đài chiến thắng</t>
  </si>
  <si>
    <t xml:space="preserve"> - DA tạo nguồn cấp nước thanh minh</t>
  </si>
  <si>
    <t>Vốn vượt thu NSTW năm 2010, 2011</t>
  </si>
  <si>
    <t>Kè chống sạt lở bờ sông nậm rốm gđ 2</t>
  </si>
  <si>
    <t>Đường Mường Lay - Nậm Nhùn ( gđ i)</t>
  </si>
  <si>
    <t>Chương trình 160</t>
  </si>
  <si>
    <t xml:space="preserve"> - Nước sinh hoạt bản Pá Xa xã Pa Thơm</t>
  </si>
  <si>
    <t xml:space="preserve"> - Thủy lợi bản Tâu xã Hua Thanh</t>
  </si>
  <si>
    <t>Đ Biên</t>
  </si>
  <si>
    <t xml:space="preserve"> - Kiên cố kênh thủy lợi Na Cò Bô xã Mường Nhà</t>
  </si>
  <si>
    <t xml:space="preserve"> - Cầu treo vào trụ sở UBND xã Na Tông</t>
  </si>
  <si>
    <t xml:space="preserve"> - Giảm trừ quyết toán </t>
  </si>
  <si>
    <t xml:space="preserve"> - Đường bê tông bản Có Đứa xã Na Sang</t>
  </si>
  <si>
    <t>2015-2015</t>
  </si>
  <si>
    <t xml:space="preserve"> - Đường bê tông bản Hồ Chim 2 xã Ma Thì Hồ</t>
  </si>
  <si>
    <t xml:space="preserve"> - Đường bê tông vào trụ sở, Trạm y tế và công trình phụ trợ xã MMươn</t>
  </si>
  <si>
    <t xml:space="preserve"> - Nhà nội trú trường THCS xã Ma Thì Hồ</t>
  </si>
  <si>
    <t xml:space="preserve"> - Nhà nội trú trường THCS xã Si Pa Phìn</t>
  </si>
  <si>
    <t xml:space="preserve"> - Nhà Văn hóa bản Nậm Vì xã Chung Chải</t>
  </si>
  <si>
    <t xml:space="preserve"> - Nhà văn hóa bản Huổi Hốc xã Nậm Kè</t>
  </si>
  <si>
    <t xml:space="preserve"> - Nhà văn hóa bản Tả Cố Khừ, xã Sín Thầu</t>
  </si>
  <si>
    <t xml:space="preserve"> - Nhà văn hóa bản Nậm San 1, xã Mường Nhé</t>
  </si>
  <si>
    <t xml:space="preserve"> - Trụ sở xã Si Pa Phìn</t>
  </si>
  <si>
    <t xml:space="preserve"> - Trụ sở xã Na Cô Sa</t>
  </si>
  <si>
    <t>Định canh định cư theo QĐ 33</t>
  </si>
  <si>
    <t xml:space="preserve"> - Đường GT Ta ma - Phiêng vang </t>
  </si>
  <si>
    <t xml:space="preserve"> - Thủy lợi bãi Phiêng Vang</t>
  </si>
  <si>
    <t xml:space="preserve"> - Nước sinh hoạt Phiêng vang</t>
  </si>
  <si>
    <t xml:space="preserve"> - Đường nội bộ điểm dân cư tập trung bãi Phiêng vang</t>
  </si>
  <si>
    <t xml:space="preserve"> - NSH cộng đồng bãi phiêng vang</t>
  </si>
  <si>
    <t xml:space="preserve"> - Kè chống sạt lở khu dân cư và đường lên bản Pú Nen</t>
  </si>
  <si>
    <t>15-15</t>
  </si>
  <si>
    <t xml:space="preserve"> - Đường Búng Lao - Pú Nen, xã Búng Lao</t>
  </si>
  <si>
    <t>13-14</t>
  </si>
  <si>
    <t>L=1,287 km</t>
  </si>
  <si>
    <t xml:space="preserve"> - San ủi mặt bằng + đường nội bản Pú Nen, xã Búng Lao</t>
  </si>
  <si>
    <t>L=658,35m</t>
  </si>
  <si>
    <t xml:space="preserve"> - Đường Páo tỉnh Làng - Phàng Mủ Phình, xã Tả Phìn</t>
  </si>
  <si>
    <t xml:space="preserve"> - Thủy lợi  Phàng Mủ Phình xã Tả Phìn</t>
  </si>
  <si>
    <t>2015</t>
  </si>
  <si>
    <t xml:space="preserve"> - Nhà lớp học  Phàng Mủ Phình xã Tả Phìn</t>
  </si>
  <si>
    <t xml:space="preserve"> - NSH Phàng Mủ Phình xã Tả Phìn</t>
  </si>
  <si>
    <t xml:space="preserve"> - Nhà lớp học MN và TH bản Huổi Chá xã Mường Tùng</t>
  </si>
  <si>
    <t xml:space="preserve"> - NSH bản Huổi Chá xã Mường Tùng</t>
  </si>
  <si>
    <t xml:space="preserve"> - Hệ thống thoát nước đường vào bản Huổi Chá xã Mường Tùng</t>
  </si>
  <si>
    <t xml:space="preserve"> - Đường Huổi Thủng đi Na Cô Sa A</t>
  </si>
  <si>
    <t xml:space="preserve"> - Đường Phình giàng- Xá tự và đường nội bộ xá tự</t>
  </si>
  <si>
    <t xml:space="preserve"> - Thủy lợi xá tự xã Phình giàng</t>
  </si>
  <si>
    <t xml:space="preserve"> - Đường lên điểm Hua Huổi Luông A xã Lay Nưa</t>
  </si>
  <si>
    <t>TXML</t>
  </si>
  <si>
    <t>Chương trình đi dân theo Quyết định 193 và QĐ 1776</t>
  </si>
  <si>
    <t xml:space="preserve">  - Đường GT từ QL 6A-Khu TĐC bản Hua mức 2 Mường Mùn</t>
  </si>
  <si>
    <t xml:space="preserve">  - Đường GT từ QL 6A-Khu TĐC bản Hua mức 2</t>
  </si>
  <si>
    <t xml:space="preserve"> - Cấp NSH khu định Phiêng xanh</t>
  </si>
  <si>
    <t>KP hỗ trợ di dân ra khỏi vùng sạt lở, lũ ống, lũ quyét</t>
  </si>
  <si>
    <t>Chương trình đảm bảo chất lượng Giáo dục (SEQAP)</t>
  </si>
  <si>
    <t xml:space="preserve"> - XD các điểm trường TH: Số 1 Quài nưa, Nà Sáy, Bình Minh,  Quài tở, số 1 Quài cang,  Bình minh</t>
  </si>
  <si>
    <t xml:space="preserve"> - XD các điểm trường TH: Thị Trấn, Sính Phình số 1, Xá Nhè </t>
  </si>
  <si>
    <t xml:space="preserve"> TChùa</t>
  </si>
  <si>
    <t xml:space="preserve"> - XD nhà lớp học, nhà vệ sinh 02 chỗ điểm Háng trợ và điểm Nậm Pó trường TH Nậm Ngám xã Keo Lôm </t>
  </si>
  <si>
    <t xml:space="preserve"> - Dự án xây dựng 01 nhà đa năng trường TH Thị trấn</t>
  </si>
  <si>
    <t xml:space="preserve"> - Trường tiểu học số 1 Na Sang</t>
  </si>
  <si>
    <t xml:space="preserve"> - XD các điểm trường TH: T An, số 1 T Xương, số 2 Nà Tấu</t>
  </si>
  <si>
    <t xml:space="preserve"> - XD các điểm trường TH: số 2 TYên, số 1 Noong Luống, T Luông</t>
  </si>
  <si>
    <t>H Đbiên</t>
  </si>
  <si>
    <t xml:space="preserve"> - XD nhà đa năng tại cá trường TH: Số 2 Thanh Yên, TAn </t>
  </si>
  <si>
    <t>Chương trình KCH trường lớp học</t>
  </si>
  <si>
    <t xml:space="preserve"> - Trường tiểu học Mường Lói</t>
  </si>
  <si>
    <t xml:space="preserve">  - Trường MN số 2 Mường Báng</t>
  </si>
  <si>
    <t xml:space="preserve">T Chùa </t>
  </si>
  <si>
    <t xml:space="preserve"> - Trường MN Mường nhé</t>
  </si>
  <si>
    <t xml:space="preserve"> - Trường THCS Nguyễn Bá Ngọc</t>
  </si>
  <si>
    <t>Đầu tư theo NQ 30a</t>
  </si>
  <si>
    <t xml:space="preserve"> - Đường Mường Báng -  Mường Đun (đoạn Xá Nhè Mường Đun)</t>
  </si>
  <si>
    <t xml:space="preserve"> - Đường UBND xã đi bản Nà Sa, bản Túc Xá xã MĐun</t>
  </si>
  <si>
    <t xml:space="preserve"> - Trường TH Ban mai</t>
  </si>
  <si>
    <t>C, sinh</t>
  </si>
  <si>
    <t xml:space="preserve"> - Trường mầm non, THCS phình sáng</t>
  </si>
  <si>
    <t>P sáng</t>
  </si>
  <si>
    <t xml:space="preserve"> - Trạm Y tế xã Huổi Mí</t>
  </si>
  <si>
    <t xml:space="preserve"> - Đường QL 12 - Hừa Ngài</t>
  </si>
  <si>
    <t xml:space="preserve"> - Đường Mường Mươn 2 - Pú Múa xã Mường Mươn</t>
  </si>
  <si>
    <t xml:space="preserve"> - Đường bản Huổi sang - bản Huổi Y xã Ma Thì Hồ</t>
  </si>
  <si>
    <t>Hỗ trợ người có công với cách mạng về nhà ở</t>
  </si>
  <si>
    <t xml:space="preserve"> - Huyện Điện Biên Đông</t>
  </si>
  <si>
    <t xml:space="preserve"> - Huyện Nậm Pồ</t>
  </si>
  <si>
    <t>30.1</t>
  </si>
  <si>
    <t>Nước sinh hoạt tập trung</t>
  </si>
  <si>
    <t xml:space="preserve"> - NSH bản Nghịu xã Pá Khoang</t>
  </si>
  <si>
    <t xml:space="preserve"> - NSH bản Ngài Thầu II xã Nà Bủng</t>
  </si>
  <si>
    <t xml:space="preserve"> - NSH bản Púng nhóm II xã Qungr Lâm</t>
  </si>
  <si>
    <t xml:space="preserve"> - NSH bản Lúm xã Mường Toong</t>
  </si>
  <si>
    <t xml:space="preserve"> - NSH bản Pa Tần nhóm II xã Pa Tần</t>
  </si>
  <si>
    <t xml:space="preserve"> - NSH Huổi Hoi xã Nà Hỳ</t>
  </si>
  <si>
    <t>N Pồ</t>
  </si>
  <si>
    <t>30.2</t>
  </si>
  <si>
    <t>Nước sinh hoạt phân tán</t>
  </si>
  <si>
    <t xml:space="preserve"> - Huyện Điện Biên</t>
  </si>
  <si>
    <t>Toàn huyện</t>
  </si>
  <si>
    <t xml:space="preserve"> - Huyện Tuần Giáo</t>
  </si>
  <si>
    <t xml:space="preserve"> + Xã Lao Xả Phình</t>
  </si>
  <si>
    <t xml:space="preserve"> + Xã Mường Báng</t>
  </si>
  <si>
    <t xml:space="preserve"> + Xã Sín Chải</t>
  </si>
  <si>
    <t xml:space="preserve"> + Xã Sính Phình</t>
  </si>
  <si>
    <t xml:space="preserve"> + Xã Tả Phìn</t>
  </si>
  <si>
    <t xml:space="preserve"> + Xã Tả Sìn Thàng</t>
  </si>
  <si>
    <t xml:space="preserve"> + Xá Nhè</t>
  </si>
  <si>
    <t xml:space="preserve"> - Huyện Mường Nhé</t>
  </si>
  <si>
    <t xml:space="preserve"> - Thị xã Mường Lay</t>
  </si>
  <si>
    <t>30.3</t>
  </si>
  <si>
    <t>Hỗ trợ chuyển đổi nghề mua sắm máy móc thiết bị</t>
  </si>
  <si>
    <t xml:space="preserve"> - Xã Noong Luống</t>
  </si>
  <si>
    <t xml:space="preserve"> - Xã Thanh Yên</t>
  </si>
  <si>
    <t xml:space="preserve"> - Tuần Giáo</t>
  </si>
  <si>
    <t xml:space="preserve"> - Mường Nhé</t>
  </si>
  <si>
    <t>30.4</t>
  </si>
  <si>
    <t>Hỗ trợ đất ở, đất sản xuất</t>
  </si>
  <si>
    <t xml:space="preserve"> - Huyện Điên Biên</t>
  </si>
  <si>
    <t>Đầu tư bằng nguồn vốn nước ngoài</t>
  </si>
  <si>
    <t>Vốn vay ODA (ghi thu, ghi chi năm 2015)</t>
  </si>
  <si>
    <t xml:space="preserve"> - Đường Chà Tở Mường Tùng</t>
  </si>
  <si>
    <t xml:space="preserve"> - Dự án mở rộng cấp nước TP Điện Biên Phủ</t>
  </si>
  <si>
    <t xml:space="preserve"> - Dự án giảm nghèo tỉnh ĐB giai đoạn 2010-2015</t>
  </si>
  <si>
    <t xml:space="preserve"> - Trường phổ thông HERMANN Điện Biên</t>
  </si>
  <si>
    <t xml:space="preserve"> - Làng trẻ SOS Điện Biên Phủ</t>
  </si>
  <si>
    <t xml:space="preserve"> - Dự án thu gom và xử lý nước thải  TP ĐBP</t>
  </si>
  <si>
    <t xml:space="preserve"> - Thủy lợi, NSH bản Nậm Mu, Phình Sáng</t>
  </si>
  <si>
    <t xml:space="preserve"> - Đường Nậm Din - Khua Trá</t>
  </si>
  <si>
    <t xml:space="preserve"> - Chương trình Đô thị miền núi phía bắc - TP ĐBP</t>
  </si>
  <si>
    <t>Vốn JICA</t>
  </si>
  <si>
    <t xml:space="preserve"> - Dự án cấp nước thành phố</t>
  </si>
  <si>
    <t>Nguồn WB</t>
  </si>
  <si>
    <t>Vốn Kuwait</t>
  </si>
  <si>
    <t xml:space="preserve"> - Dự án đường Chà tở -Mường tùng</t>
  </si>
  <si>
    <t>Khối huyện</t>
  </si>
  <si>
    <t xml:space="preserve"> - Phát triển kinh tế huyện</t>
  </si>
  <si>
    <t xml:space="preserve"> + Đường GT thôn Trung Thu xã Trung Thu</t>
  </si>
  <si>
    <t xml:space="preserve"> + Thủy lợi thôn 3 cánh đồng Tà Là cáo xã Sính Phình</t>
  </si>
  <si>
    <t xml:space="preserve"> + SC NSH thôn Sông A xã Sá Nhè</t>
  </si>
  <si>
    <t xml:space="preserve"> + Thủy lợi Háng Khúa thôn Páo Tỉnh làng 2 xã Tả Sìn Thàng</t>
  </si>
  <si>
    <t xml:space="preserve"> + Đường liên thôn đội 10 Phiêng Bung xã Mường Báng</t>
  </si>
  <si>
    <t xml:space="preserve"> + Thủy lợi thôn Từ Ngài 2 xã Mường Báng</t>
  </si>
  <si>
    <t xml:space="preserve"> + Đường ra khu SX cánh đồng Háng Là thôn Háng Sung xã Tả Phìn</t>
  </si>
  <si>
    <t xml:space="preserve"> + SC NSH đội 6 xã Mường Báng</t>
  </si>
  <si>
    <t xml:space="preserve"> + NC đường dân sinh thôn Sính Sủ 1, Sính Sủ 2 xã Sá Nhè</t>
  </si>
  <si>
    <t xml:space="preserve"> + Đường dân sinh từ trường MN thôn Làng Sảng 1- Háng Tâu Keng xã Tả Sìn Thàng </t>
  </si>
  <si>
    <t xml:space="preserve"> + Dự án liên kết và tiêu thụ gừng (hỗ trợ phân bón)</t>
  </si>
  <si>
    <t xml:space="preserve"> - Ngân sách phát triển xã</t>
  </si>
  <si>
    <t xml:space="preserve"> - Chi ban quản lý dự án</t>
  </si>
  <si>
    <t xml:space="preserve"> - Đường bê tông bản Háng Giống xã Pú Nhi</t>
  </si>
  <si>
    <t xml:space="preserve"> - Thủy lợi Háng trợ xã Pú Nhi</t>
  </si>
  <si>
    <t xml:space="preserve"> - Thủy lợi bản Huổi Va - Háng Lìa</t>
  </si>
  <si>
    <t xml:space="preserve"> - Thủy lợi bản Huổi Dụa  xã Phình Giàng</t>
  </si>
  <si>
    <t xml:space="preserve"> - Thủy lợi bản Bó xã Na Son</t>
  </si>
  <si>
    <t xml:space="preserve"> - NSH bản Mẽ xã Chiềng Sơ</t>
  </si>
  <si>
    <t xml:space="preserve"> - KCH KNĐ Bản Bó xã Na Son</t>
  </si>
  <si>
    <t xml:space="preserve"> - Hỗ trợ phát triển xã</t>
  </si>
  <si>
    <t xml:space="preserve"> - Cầu treo bản Sa Lông 1, bản Sa lông 2 xã Sa lông</t>
  </si>
  <si>
    <t xml:space="preserve"> - Thủy lợi Hồ Sỹ Dính bản Háng Lìa xã Sa Lông</t>
  </si>
  <si>
    <t xml:space="preserve"> - Thủy lợi bản Huổi Bon xã Pa Ham</t>
  </si>
  <si>
    <t xml:space="preserve"> - Đường bê tông bản Ma Thì Hồ</t>
  </si>
  <si>
    <t xml:space="preserve"> - Đường dân sinh bản Mo Công xã Phìn Hồ</t>
  </si>
  <si>
    <t xml:space="preserve"> - Đường dân sinh từ quốc lộ 6 vào bản Đề dê xã Sá Tổng</t>
  </si>
  <si>
    <t xml:space="preserve"> - Đường dân sinh vào bản Cứu Táng xã Nậm Nèn</t>
  </si>
  <si>
    <t xml:space="preserve"> - Tiểu dự án dong riềng xã Nậm Lèn </t>
  </si>
  <si>
    <t xml:space="preserve"> - Ban phát triển xã</t>
  </si>
  <si>
    <t xml:space="preserve"> - Công trình thủy lợi Huổi Lị xã Ngối Cáy</t>
  </si>
  <si>
    <t xml:space="preserve"> - Nâng cấp đường dân sinh bản Chan xã Ngối Cáy</t>
  </si>
  <si>
    <t xml:space="preserve"> - KCH kênh nội đồng bản Búng 1,2, bản Xuân Món, bản Nà Lấu xã  Búng Lao</t>
  </si>
  <si>
    <t xml:space="preserve"> - Thủy lợi Ná Mẹo bản Thái xã Mường Đăng</t>
  </si>
  <si>
    <t xml:space="preserve"> - DA liên kết trông và tieu thụ sa nhân tím</t>
  </si>
  <si>
    <t xml:space="preserve"> - NC đường dân sinh bả Chan III xã Ngối Cáy</t>
  </si>
  <si>
    <t>IV</t>
  </si>
  <si>
    <t>Chương trình mục tiêu quôc gia</t>
  </si>
  <si>
    <t xml:space="preserve">Chương trình giảm nghèo </t>
  </si>
  <si>
    <t>Đầu tư cơ sở các huyện nghèo</t>
  </si>
  <si>
    <t xml:space="preserve"> - Điện Sinh hoạt bản Tát Hẹ xã Ẳng Nưa</t>
  </si>
  <si>
    <t>Huyện M Ảng</t>
  </si>
  <si>
    <t>14-15</t>
  </si>
  <si>
    <t>L=3,73km đường dây trung thế; L=1,8Km đường dây hạ thế</t>
  </si>
  <si>
    <t xml:space="preserve"> - Thủy lợi bản Chan III, xã Ngối Cáy</t>
  </si>
  <si>
    <t>8ha lúa 2 vụ; 11,6 ha lúa 1 vụ</t>
  </si>
  <si>
    <t xml:space="preserve"> - Phai Toi Món, xã Ẳng Nưa</t>
  </si>
  <si>
    <t>11,4ha lúa 1 vụ; 5ha lúa 2 vụ</t>
  </si>
  <si>
    <t xml:space="preserve"> - Thủy lợi Ná Hay Nưa + Ná Hay Co Có, xã Ngối Cáy</t>
  </si>
  <si>
    <t>15ha lúa 2 vụ</t>
  </si>
  <si>
    <t xml:space="preserve"> - Kênh Ná Co Đụ (Bó Mạy) Ẳng Nưa</t>
  </si>
  <si>
    <t>20ha lúa 2 vụ</t>
  </si>
  <si>
    <t xml:space="preserve"> - Ngầm tràn liên hợp bản Pọng, xã Mường Đăng</t>
  </si>
  <si>
    <t>L=333,08m</t>
  </si>
  <si>
    <t xml:space="preserve"> - Đường dân sinh Xuân Tre - Co Nỏng, búng Lao (đoạn nối bản Co Nỏng với trung tâm UBND xã Búng Lao)</t>
  </si>
  <si>
    <t>14-14</t>
  </si>
  <si>
    <t>L=758,08m</t>
  </si>
  <si>
    <t xml:space="preserve"> - Đường dân sinh bản Cha Cuông, xã Ẳng Tở</t>
  </si>
  <si>
    <t>L= 1.004,36 m</t>
  </si>
  <si>
    <t xml:space="preserve"> - Phai Nguống - Ẳng Cang</t>
  </si>
  <si>
    <t>35ha lúa 2 vụ; L= 1080,34m</t>
  </si>
  <si>
    <t xml:space="preserve"> - Ngầm tràn liên hợp bản Hón - Noong Háng, xã Ẳng Cang</t>
  </si>
  <si>
    <t>L= 153,02m</t>
  </si>
  <si>
    <t xml:space="preserve"> - Sửa chữa, nâng cấp thủy lợi bản Ná Bon, xã Mường Lạn</t>
  </si>
  <si>
    <t>L= 1,5km/ 7,5ha lúa 2 vụ</t>
  </si>
  <si>
    <t xml:space="preserve"> - Phai Cói (bản Cói + bản Sáng), xã Ẳng Cang</t>
  </si>
  <si>
    <t>23ha lúa 2 vụ</t>
  </si>
  <si>
    <t xml:space="preserve"> - Ngầm tràn liên hợp bản Lịch Tở, xã Nặm Lịch</t>
  </si>
  <si>
    <t>L = 78,22m</t>
  </si>
  <si>
    <t xml:space="preserve"> - Trường mầm non xã Xuân Lao</t>
  </si>
  <si>
    <t>Sxd = 363,8m2; Ssd = 301,6m2</t>
  </si>
  <si>
    <t xml:space="preserve"> - Trường mầm non xã Nặm Lịch</t>
  </si>
  <si>
    <t xml:space="preserve"> - Thủy lợi bản Cha Nọ + kênh mương bản Pá Cha, xã Ẳng Tở</t>
  </si>
  <si>
    <t>15-17</t>
  </si>
  <si>
    <t>26ha lúa 2 vụ; 6,5ha lúa 1 vụ</t>
  </si>
  <si>
    <t xml:space="preserve"> - Phai cửa rừng Pá Ten, xã Ẳng Nưa</t>
  </si>
  <si>
    <t>21ha vụ mùa; 8ha vụ chiêm</t>
  </si>
  <si>
    <t xml:space="preserve"> - Đường từ Chan III - Nậm Cứm, Ngối Cáy (Nối với TT xã Ngối Cáy)</t>
  </si>
  <si>
    <t>L= 8.854,07m</t>
  </si>
  <si>
    <t xml:space="preserve"> - Đường dân sinh Huổi Lướng, xã Nặm Lịch</t>
  </si>
  <si>
    <t>15-16</t>
  </si>
  <si>
    <t>L=1,11km</t>
  </si>
  <si>
    <t xml:space="preserve"> - Nhà văn hóa xã Xuân Lao</t>
  </si>
  <si>
    <t>Nhà cấp IV - 02 tầng; Sxd=478,7m2</t>
  </si>
  <si>
    <t xml:space="preserve"> - Trường mầm non Xuân Lao, xã Xuân Lao</t>
  </si>
  <si>
    <t xml:space="preserve"> - Hỗ trợ tạo việc làm tăng thu nhập</t>
  </si>
  <si>
    <t xml:space="preserve"> + Bảo vệ và chăm sóc rừng tự nhiên</t>
  </si>
  <si>
    <t xml:space="preserve"> + Trồng rừng SX</t>
  </si>
  <si>
    <t xml:space="preserve"> + Khai hoang ruộng bậc thang</t>
  </si>
  <si>
    <t xml:space="preserve"> - Đường Thị trấn - Đông Phi II, huyện Tủa Chùa (gồm hai nguồn vốn)</t>
  </si>
  <si>
    <t xml:space="preserve"> - Đường UBND xã Bản Nà Sa-Bản Túc - xã Mường Đun </t>
  </si>
  <si>
    <t xml:space="preserve"> - Sửa chữa nước sinh hoạt Thôn 1,2 xã Huổi Só</t>
  </si>
  <si>
    <t xml:space="preserve"> - Trạm Y tế xã Lao Xả Phình huyện Tủa Chùa</t>
  </si>
  <si>
    <t xml:space="preserve"> - Trạm Y tế xã Mường Đun huyện Tủa Chùa</t>
  </si>
  <si>
    <t xml:space="preserve">  - Đường dân sinh Cáng Phình - Chẻo Chử Phình, xã Lao Xả Phình</t>
  </si>
  <si>
    <t xml:space="preserve"> - Đường dân sinh UBND xã - Phình Hồ Ke - Mô Lô Tủng -Háng Cu Tâu km15 đường C3 đi Lao Xả Phình</t>
  </si>
  <si>
    <t xml:space="preserve"> - Khai hoang</t>
  </si>
  <si>
    <t xml:space="preserve"> - Đường Nậm Pố - Nậm Vì</t>
  </si>
  <si>
    <t xml:space="preserve"> - Thủy lợi Sen Thượng</t>
  </si>
  <si>
    <t xml:space="preserve"> - Trường Tiểu học xã Leng Su Sìn</t>
  </si>
  <si>
    <t xml:space="preserve"> - Trường Tiểu học xã Nậm Vì</t>
  </si>
  <si>
    <t xml:space="preserve"> - Trường Tiểu học xã Pá Mỳ</t>
  </si>
  <si>
    <t xml:space="preserve"> - Trường THCS xã Pá Mỳ</t>
  </si>
  <si>
    <t xml:space="preserve"> - Trường Tiểu học xã Na Cô Sa</t>
  </si>
  <si>
    <t xml:space="preserve"> - Cấp nước sạch TT huyện Mường Nhé</t>
  </si>
  <si>
    <t xml:space="preserve"> - Thủy lợi Tả Ko Khừ</t>
  </si>
  <si>
    <t xml:space="preserve"> - Đường Quảng Lâm - Na Cô Sa</t>
  </si>
  <si>
    <t xml:space="preserve"> - Chợ Vàng Lếch bản Vàng Lếch</t>
  </si>
  <si>
    <t xml:space="preserve"> - Đường dân sinh Nậm Chua - Phiêng Ngúa</t>
  </si>
  <si>
    <t xml:space="preserve"> - Đường đi bản Nậm Chua 3</t>
  </si>
  <si>
    <t xml:space="preserve"> - Đường Nậm Củng - Hô Củng - Huổi Anh</t>
  </si>
  <si>
    <t xml:space="preserve"> - Đường đi bản Huổi Tre</t>
  </si>
  <si>
    <t xml:space="preserve"> - Cầu treo bản Vàng Lếch</t>
  </si>
  <si>
    <t xml:space="preserve"> - Nhà văn hóa xã Chà Cang</t>
  </si>
  <si>
    <t xml:space="preserve"> - Nhà văn hóa xã Nà Hỳ</t>
  </si>
  <si>
    <t xml:space="preserve"> TỈNH ĐIỆN BIÊN</t>
  </si>
  <si>
    <t>Phụ lục số 6 - Biểu số 41</t>
  </si>
  <si>
    <t>QUYẾT TOÁN CHI NGÂN SÁCH ĐỊA PHƯƠNG NĂM 2015</t>
  </si>
  <si>
    <t>NỘI DUNG CHI</t>
  </si>
  <si>
    <t>DỰ TOÁN GIAO</t>
  </si>
  <si>
    <t>QUYẾT TOÁN NĂM</t>
  </si>
  <si>
    <t>SO SÁNH (%) QT/DT</t>
  </si>
  <si>
    <t>Chia ra</t>
  </si>
  <si>
    <t>NS  tỉnh</t>
  </si>
  <si>
    <t>NS huyện</t>
  </si>
  <si>
    <t>số</t>
  </si>
  <si>
    <t>TỔNG CHI</t>
  </si>
  <si>
    <t>Chi Giáo dục - Đào tạo và dạy nghề</t>
  </si>
  <si>
    <t>Chi khoa học và công nghệ</t>
  </si>
  <si>
    <t>Chi trả nợ gốc và lãi vay huy động ĐT theo K3 Đ8 luật NSNN</t>
  </si>
  <si>
    <t>Chi bổ sung quỹ dự trữ tài chính</t>
  </si>
  <si>
    <t>VI</t>
  </si>
  <si>
    <t>Chi nộp ngân sách cấp trên</t>
  </si>
  <si>
    <t>VII</t>
  </si>
  <si>
    <t xml:space="preserve"> - Nhà văn hóa xã Chà Tở</t>
  </si>
  <si>
    <t xml:space="preserve"> - Hỗ trợ KP khai hoang, phục hóa tạo ruộng bậc thang </t>
  </si>
  <si>
    <t xml:space="preserve"> - Đường Keo Lôm, Xăm măn, Phình Giàng</t>
  </si>
  <si>
    <t>Huyện ĐBĐ</t>
  </si>
  <si>
    <t xml:space="preserve"> - Đường Trung Sua-Huổi Hoa</t>
  </si>
  <si>
    <t xml:space="preserve"> - Đường Nậm Ngám đi bản Pu Nhi A,B,C,D-Sư Lư 1,2,3,4,5</t>
  </si>
  <si>
    <t xml:space="preserve"> - Hỗ trợ KP khai hoang phục hóa tạo ruộng bậc thang</t>
  </si>
  <si>
    <t xml:space="preserve"> - Hỗ trợ trồng rừng </t>
  </si>
  <si>
    <t>1.2</t>
  </si>
  <si>
    <t>Đầu tư cơ sở hạ tầng các xã ĐBKK</t>
  </si>
  <si>
    <t xml:space="preserve"> - Đường bê tông bản Pa Pốm xã Thanh Minh</t>
  </si>
  <si>
    <t xml:space="preserve"> - SC kênh đập thủy lợi bản Lói xã Mường Lói</t>
  </si>
  <si>
    <t xml:space="preserve"> - Hạng mục phụ trợ NSHCĐ bản Huổi Chan 2 xã Mường Pồn</t>
  </si>
  <si>
    <t xml:space="preserve"> - Nhà sinh hoạt cộng đồng bản Huổi Un xã Mường Pồn</t>
  </si>
  <si>
    <t xml:space="preserve"> - Kênh mương thủy lợi bản Mường Pồn I</t>
  </si>
  <si>
    <t xml:space="preserve"> - Cầu ngầm đường vào bản Khá xã Mường Phăng</t>
  </si>
  <si>
    <t xml:space="preserve"> - Nhà lớp học điểm trường bản Xá Nhù xã Hua Thanh</t>
  </si>
  <si>
    <t xml:space="preserve"> - NSHCĐ bản Phượn xã Thanh Yên</t>
  </si>
  <si>
    <t xml:space="preserve"> - NSHCĐ bản Bông A xã Noong Hẹt</t>
  </si>
  <si>
    <t xml:space="preserve"> - NSH cộng đồng bản Pú Tửu (tường, rào, cổng) xã Thanh Xương</t>
  </si>
  <si>
    <t xml:space="preserve"> - NSHCĐ bản Co Mỵ xã Sam Mứn</t>
  </si>
  <si>
    <t xml:space="preserve"> - Đường giao thông bản Co Ké xã Thanh Nưa </t>
  </si>
  <si>
    <t xml:space="preserve"> - Thuỷ lợi Na Tao xã Mường Lói</t>
  </si>
  <si>
    <t xml:space="preserve"> - Kênh mương bản Na Ư xã Na Ư</t>
  </si>
  <si>
    <t xml:space="preserve"> - Thuỷ lợi bản Xôm xã Phu Luông</t>
  </si>
  <si>
    <t xml:space="preserve"> - Đường, cầu bê tông bản Xôm xã Nà Tấu</t>
  </si>
  <si>
    <t xml:space="preserve"> - NC đường vào bản Khẩu Cắm xã Mường Phăng</t>
  </si>
  <si>
    <t xml:space="preserve"> - Cấp điện bản Pá Khôm 1+2 xã Nà Nhạn</t>
  </si>
  <si>
    <t xml:space="preserve"> - Nâng cấp đường vào bản Nà Cái 1+2 xã Nà Tấu</t>
  </si>
  <si>
    <t xml:space="preserve"> - Cầu treo bản Hin Phon xã Na Tông</t>
  </si>
  <si>
    <t xml:space="preserve"> - Đường vào trường Mầm non Pu Lau xã Mường Nhà</t>
  </si>
  <si>
    <t xml:space="preserve"> - Thuỷ lợi Na Rôn xã Hẹ Muông</t>
  </si>
  <si>
    <t xml:space="preserve"> - Kiên cố kênh thủy lợi Nà Ngám xã Nà Nhạn</t>
  </si>
  <si>
    <t xml:space="preserve"> - Kiên cố kênh mương bản Na Phay xã Mường Nhà</t>
  </si>
  <si>
    <t xml:space="preserve"> - Nâng cấp đường vào bản Vang 1+2 xã Pá Khoang</t>
  </si>
  <si>
    <t xml:space="preserve"> - Kênh thủy lợi bản Xôm 2 xã Phu Luông</t>
  </si>
  <si>
    <t xml:space="preserve"> - Thủy lợi Nà Tấu 5 xã Nà Tấu</t>
  </si>
  <si>
    <t xml:space="preserve"> - Đường trung tâm xã Pa Thơm bản Huổi Xa Cuông xã Pa Thơm</t>
  </si>
  <si>
    <t xml:space="preserve"> - Đường cầu treo vào trụ sở UBND xã Na Tông </t>
  </si>
  <si>
    <t xml:space="preserve"> - Đường vào trung tâm xã Hẹ Muông</t>
  </si>
  <si>
    <t xml:space="preserve"> - Đường giao thông bản Pá Sáng xa Hua Thanh</t>
  </si>
  <si>
    <t xml:space="preserve"> - Nhà sinh hoạt cộng đồng xã Núa Ngam</t>
  </si>
  <si>
    <t xml:space="preserve"> - Thủy lợi Co Sản, xã Ẳng Cang</t>
  </si>
  <si>
    <t xml:space="preserve"> - Thủy lợi bản Pá Sáng, xã Búng Lao</t>
  </si>
  <si>
    <t xml:space="preserve"> - Nối dài kênh thủy lợi Huổi Châng (Thổ lộ A), xã Ẳng Tở</t>
  </si>
  <si>
    <t xml:space="preserve"> - Đường dân sinh liên bản Món Hà, xã Xuân Lao</t>
  </si>
  <si>
    <t xml:space="preserve"> - Thủy lợi Ná Huổi Dên, bản Đắng, xã Mường Đăng</t>
  </si>
  <si>
    <t xml:space="preserve"> - Đường giao thông nội bản Pá Cha, xã Ẳng Tở</t>
  </si>
  <si>
    <t xml:space="preserve"> - Đường giao thông nội bản Giảng, xã  Ẳng Cang</t>
  </si>
  <si>
    <t xml:space="preserve"> - Đường giao thông nội đồng bản Co Cọ, xã Ngối Cáy</t>
  </si>
  <si>
    <t xml:space="preserve"> - Đường giao thông liên bản, bản Xuân  Lứa-Hẩm Chẩu, xã Xuân Lao </t>
  </si>
  <si>
    <t xml:space="preserve"> - Kênh tiêu úng cánh đồng bản Búng I+Búng II+Nà Lấu, xã Búng Lao</t>
  </si>
  <si>
    <t xml:space="preserve"> - Thủy lợi bản Lạn A xã Mường Lạn</t>
  </si>
  <si>
    <t xml:space="preserve"> - Đường giao thông nội bản Hón, xã Ẳng Cang</t>
  </si>
  <si>
    <t xml:space="preserve"> - Đường giao thông nội bản Tát Hẹ - xã Ẳng Nưa</t>
  </si>
  <si>
    <t xml:space="preserve"> - Đường giao thông trung tâm bản Lịch Cang, xã Nặm Lịch</t>
  </si>
  <si>
    <t xml:space="preserve"> - Thủy lợi thôn Từ Ngài, xã Mường Báng                                         </t>
  </si>
  <si>
    <t xml:space="preserve"> Tủa Chùa    </t>
  </si>
  <si>
    <t xml:space="preserve"> - Kiên cố hóa tuyến kênh thủy lợi Háng Pàng, xã Huổi Só</t>
  </si>
  <si>
    <t xml:space="preserve"> - Kiên cố hóa tuyến kênh thủy lợi Háng Ga, xã Sính Phình</t>
  </si>
  <si>
    <t xml:space="preserve"> - Đường dân sinh thôn Pá Ỏ - Ngã 3 giao với đường Mường Đun-Tủa Thàng, xã Mường Đun</t>
  </si>
  <si>
    <t xml:space="preserve"> - Đường dân sinh thôn Phi Gìang 1 thôn Tủa Thàng, xã Tủa Thàng</t>
  </si>
  <si>
    <t xml:space="preserve"> - Đường giao thông Tà Cúa Nắng - Háng Nàng Dúa, thôn Háng Sung 2, xã Tả Phìn</t>
  </si>
  <si>
    <t xml:space="preserve"> - Đường giao thông thôn Séo Mí Chải - Hấu Chua, xã Sín Chải</t>
  </si>
  <si>
    <t xml:space="preserve"> - Đường dân sinh thôn 1 - Táng Tò, xã Lao Xả Phình</t>
  </si>
  <si>
    <t xml:space="preserve"> - Kiên cố hóa đường bản Hẹ 1- bản Hẹ 2 xã Xá Nhè</t>
  </si>
  <si>
    <t xml:space="preserve"> - Đường giao thông thôn Bản Phô - Trông Xú, xã Trung Thu</t>
  </si>
  <si>
    <t xml:space="preserve"> - Kiên cố hóa tuyến kênh thủy lợi Tỏ Nàng, xã Tả Sìn Thàng</t>
  </si>
  <si>
    <t xml:space="preserve"> - Đường giao thông nông thôn thôn Làng Vùa 2 xã Tủa Thàng </t>
  </si>
  <si>
    <t xml:space="preserve"> - ĐDS Quảng Lâm - Pắc A xã Quảng Lâm</t>
  </si>
  <si>
    <t xml:space="preserve"> - Nhà lớp học tiểu học bản Tả Long San</t>
  </si>
  <si>
    <t xml:space="preserve"> - Nhà sinh hoạt cộng đồng bản Phứ Ma</t>
  </si>
  <si>
    <t xml:space="preserve"> - Sửa chữa Thủy lợi Nậm Sin</t>
  </si>
  <si>
    <t xml:space="preserve"> - Thủy lợi bản Huổi Cọ</t>
  </si>
  <si>
    <t xml:space="preserve"> - Nhà lớp học tiêu học bản Cây Sổ</t>
  </si>
  <si>
    <t xml:space="preserve"> - Thủy lợi Huổi Pinh</t>
  </si>
  <si>
    <t xml:space="preserve"> - Thủy lợi Huổi Đít bản Nậm Kè</t>
  </si>
  <si>
    <t xml:space="preserve"> - Nhà sinh hoạt cộng đồng bản Quảng Lâm</t>
  </si>
  <si>
    <t xml:space="preserve"> - Trụ sở xã Sen Thượng</t>
  </si>
  <si>
    <t xml:space="preserve"> - Trụ sở xã Nậm Vì</t>
  </si>
  <si>
    <t xml:space="preserve"> - Điểm trường Mầm non Hô Hài 2 xã Chà Cang</t>
  </si>
  <si>
    <t xml:space="preserve"> - Điểm trường Mầm non Nậm Hài 3 xã Chà Cang</t>
  </si>
  <si>
    <t xml:space="preserve"> - Kênh thủy lợi bản Sân Bay xã Si Pa Phìn</t>
  </si>
  <si>
    <t xml:space="preserve"> -Đường nội bản Pa Có - Bản Cấu - Nà Ín 1,2 xã Chà Nưa</t>
  </si>
  <si>
    <t xml:space="preserve"> - Thủy lợi Nậm Chua xã Chà Tở</t>
  </si>
  <si>
    <t xml:space="preserve"> - Đường dân sinh Hô Tâu - Huổi Văng xã Nậm Khăn</t>
  </si>
  <si>
    <t xml:space="preserve"> - Điện sinh hoạt bản Mo Công xã Phìn Hồ</t>
  </si>
  <si>
    <t xml:space="preserve"> - Cầu, cống đường vào bản Nà Bủng 2, Nậm Tắt, Pha Kha</t>
  </si>
  <si>
    <t xml:space="preserve"> - Cầu, cống đường vào bản Sam Lang xã Nà Hỳ</t>
  </si>
  <si>
    <t xml:space="preserve"> - Thủy lợi bản Nậm Tin 1 xã Nậm Tin</t>
  </si>
  <si>
    <t xml:space="preserve"> - Thủy lợi bản Vàng Đán xã Vàng Đán</t>
  </si>
  <si>
    <t xml:space="preserve"> - Thủy lợi Na Cô Sa 3 xã Na Cô Sa</t>
  </si>
  <si>
    <t xml:space="preserve"> - Cầu treo bản Huổi Hâu xã Nà Khoa</t>
  </si>
  <si>
    <t xml:space="preserve"> - Đường dân sinh Nậm Chua - Phiêng Ngúa xã Nậm Chua</t>
  </si>
  <si>
    <t xml:space="preserve"> - Đường vào bản Nậm Chua 3 xã Nậm Nhừ</t>
  </si>
  <si>
    <t xml:space="preserve"> - Đường vào bản Huổi Tre xã Pa Tần</t>
  </si>
  <si>
    <t xml:space="preserve"> - Đường bê tông bản Na Phát C</t>
  </si>
  <si>
    <t xml:space="preserve"> - Đường giao thông bản Nà Sản A-Phà Só B</t>
  </si>
  <si>
    <t xml:space="preserve"> - Đường Tìa Ló-Dư O (giai đoạn II)</t>
  </si>
  <si>
    <t xml:space="preserve"> - Đường điện bản Huổi Có, xã Phình giàng</t>
  </si>
  <si>
    <t xml:space="preserve"> - Mở rộng đường giao thông tìa mùng - Huổi Va B- Háng Lìa</t>
  </si>
  <si>
    <t xml:space="preserve"> - Thủy lợi Na Mạt, bản giói A-B xã Luân giói</t>
  </si>
  <si>
    <t xml:space="preserve"> - Đường Dân sinh bản Háng Sua A-B xã Tìa Dình</t>
  </si>
  <si>
    <t xml:space="preserve"> - Đường giao thông bản Phì Nhừ A, Na Ngựu xã Phì Nhừ</t>
  </si>
  <si>
    <t xml:space="preserve"> - Đường bê tông bản Nậm Ngám C, xã Pu Nhi</t>
  </si>
  <si>
    <t xml:space="preserve"> - Cầu treo vào cụ trường Phiêng Muông, xã Pú hồng</t>
  </si>
  <si>
    <t xml:space="preserve"> - Cầu treo bản Co Muông xã Chiềng Sơ</t>
  </si>
  <si>
    <t xml:space="preserve"> - Đường giao thông tổ 1-7 Thị trấn Điện Biên Đông</t>
  </si>
  <si>
    <t xml:space="preserve"> - Cầu bê tông Huổi Cói</t>
  </si>
  <si>
    <t xml:space="preserve"> - Đường giao thông Huổi Múa B</t>
  </si>
  <si>
    <t xml:space="preserve"> - Nhà sinh hoạt bản Huổi min</t>
  </si>
  <si>
    <t xml:space="preserve"> - Đường điện Huổi Min</t>
  </si>
  <si>
    <t xml:space="preserve"> - GT điểm bản Hua Nậm Cản</t>
  </si>
  <si>
    <t xml:space="preserve"> - SC, nâng cấp đường bản Cón - bản Phủ xã Quài Cang</t>
  </si>
  <si>
    <t>2206,96m</t>
  </si>
  <si>
    <t xml:space="preserve"> - SC, NC đường bản Noong giáng - bản Mạ khúa xã Quài nưa</t>
  </si>
  <si>
    <t>892,84m</t>
  </si>
  <si>
    <t xml:space="preserve"> - Nhà văn hóa xã Mùn chung</t>
  </si>
  <si>
    <t>153,4m</t>
  </si>
  <si>
    <t xml:space="preserve"> - Điện sinh hoạt bản Co Nghịu xã Mường mùn</t>
  </si>
  <si>
    <t>36 hộ</t>
  </si>
  <si>
    <t xml:space="preserve"> - Đường BT từ tỉnh lộ 129 đến trụ sở xã Nà Tòng</t>
  </si>
  <si>
    <t>406,89m</t>
  </si>
  <si>
    <t xml:space="preserve"> - Đường DS bản Pú Xi 1 đến bản Hua Mùn xã Pú Xi</t>
  </si>
  <si>
    <t>3453m</t>
  </si>
  <si>
    <t xml:space="preserve"> - Đường BT nội bản Ten Hon xã Tênh phông</t>
  </si>
  <si>
    <t>695,34m</t>
  </si>
  <si>
    <t xml:space="preserve"> - Đường BT nội bản Thín A xã Mường Thín</t>
  </si>
  <si>
    <t>749m</t>
  </si>
  <si>
    <t xml:space="preserve"> - Điện sinh hoạt bản Mý làng A xã Phình sáng</t>
  </si>
  <si>
    <t>38 hộ</t>
  </si>
  <si>
    <t xml:space="preserve"> - Đường BT nội bản Nôm xã Chiềng đông</t>
  </si>
  <si>
    <t>404m</t>
  </si>
  <si>
    <t xml:space="preserve"> - Nhà văn hóa xã Nà sáy</t>
  </si>
  <si>
    <t>153m</t>
  </si>
  <si>
    <t xml:space="preserve"> - Đường BT nội bản Dửn xã Chiềng sinh</t>
  </si>
  <si>
    <t>723,55m</t>
  </si>
  <si>
    <t xml:space="preserve"> - Đường BT bản Xôm - bản Đứa xã Quài tở</t>
  </si>
  <si>
    <t>1549m</t>
  </si>
  <si>
    <t xml:space="preserve"> - Đường BT nội bản Bon B xã Rạng đông</t>
  </si>
  <si>
    <t>1198,42m</t>
  </si>
  <si>
    <t xml:space="preserve"> - NSH bản Phiêng Cải xã Ta ma</t>
  </si>
  <si>
    <t>49 hộ</t>
  </si>
  <si>
    <t xml:space="preserve"> - Điện SH bản Pom Khoang xã Mường Khong</t>
  </si>
  <si>
    <t xml:space="preserve"> - Đường BT từ bản Xuân tươi đến bản Hốc</t>
  </si>
  <si>
    <t>2124,08 m</t>
  </si>
  <si>
    <t xml:space="preserve"> - Nhà văn hóa bản Huổi anh</t>
  </si>
  <si>
    <t>127,5 m</t>
  </si>
  <si>
    <t xml:space="preserve"> - Đường bê tông bản bon A</t>
  </si>
  <si>
    <t>12 m</t>
  </si>
  <si>
    <t xml:space="preserve"> - ĐBT từ bản Pa cá đến bản Nậm bay</t>
  </si>
  <si>
    <t xml:space="preserve"> - Đường điện tổ dân phố 13 (nhóm người mông Km5) Thị trấn </t>
  </si>
  <si>
    <t xml:space="preserve"> - Thuỷ lợi bản Pa Ham 1 + bản Pa Ham 2, xã Pa Ham</t>
  </si>
  <si>
    <t xml:space="preserve"> - Đường bê tông bản Sá Ninh, Trung ghênh, xã Sá Tổng</t>
  </si>
  <si>
    <t xml:space="preserve"> - Đường bê tông bản Nậm Chua, xã Huổi Lèng</t>
  </si>
  <si>
    <t xml:space="preserve"> - Đường bê tông quốc lộ 4H - Bản Huổi Mí, xã Ma Thì Hồ</t>
  </si>
  <si>
    <t xml:space="preserve"> - NC, SC đường giao thông bản Chiêu Ly-Thèn pả, xã Sa Lông</t>
  </si>
  <si>
    <t xml:space="preserve"> - NC, SC chữa đường giao thông bản Huổi Xuân-Huổi Sưa, xã Na Sang</t>
  </si>
  <si>
    <t xml:space="preserve"> - Thuỷ lợi bản Hát Tre, xã Hừa Ngài</t>
  </si>
  <si>
    <t xml:space="preserve"> - Đường bê tông trạm y tế, Nhà VH, trường THCS, điểm trường tiểu học Nậm Cút</t>
  </si>
  <si>
    <t xml:space="preserve"> - Đường giao thông bản Huổi loóng-Bản Huổi Nhả, xã Mường Mươn, </t>
  </si>
  <si>
    <t xml:space="preserve"> - Đường bê tông bản Huổi Mí 1+2, xã Huổi Mí, Huyện Mường Chà.</t>
  </si>
  <si>
    <t xml:space="preserve"> - SC cầu treo+đường bê tông đầu cầu bản Huổi Sáy xã Mường Tùng</t>
  </si>
  <si>
    <t xml:space="preserve"> - Đường giao thông bản Huổi Y - Huổi Sang, xã Ma Thì Hồ</t>
  </si>
  <si>
    <t xml:space="preserve"> - Đường bê tông bản Hát Che, xã Hừa Ngài</t>
  </si>
  <si>
    <t xml:space="preserve"> - Sửa chữa cầu treo bản Tin Tốc, xã Mường Tùng</t>
  </si>
  <si>
    <t xml:space="preserve"> - Đường giao thông QL6-bản Xà Phình 1+2, xã Sá Tổng</t>
  </si>
  <si>
    <t xml:space="preserve"> - Đường bê tông QL6, Bản Phiêng Đất A, xã Nậm Nèn</t>
  </si>
  <si>
    <t xml:space="preserve"> - Đường bê tông bản Huổi Lèng-Ma Lù Thàng, xã Huổi lèng</t>
  </si>
  <si>
    <t>Vốn  viện trợ Ailen</t>
  </si>
  <si>
    <t xml:space="preserve"> - Đường giao thông bản Nậm Khẩu Hú xã Nà Nhạn</t>
  </si>
  <si>
    <t xml:space="preserve"> - Đường giao thông bản Khá</t>
  </si>
  <si>
    <t xml:space="preserve"> - Đường giao thông bản Tà Cáng 1, 2, 3</t>
  </si>
  <si>
    <t xml:space="preserve"> - Đường giao thông bản Huổi Tăng - bản Thái, xã Mường Đăng</t>
  </si>
  <si>
    <t xml:space="preserve"> - Đường giao thông Đề Dê Hu - Phiêng Páng xã Sính Phình</t>
  </si>
  <si>
    <t xml:space="preserve"> - Đường giao thông Sính Sủ 1 - Sính Sủ 2 xã Xá Nhè </t>
  </si>
  <si>
    <t xml:space="preserve"> - Nước sinh hoạt bản Cứu Tàng xã Nậm Nèn</t>
  </si>
  <si>
    <t xml:space="preserve"> - Nước sinh hoạt bản Huổi Quang Ma Thì Hồ</t>
  </si>
  <si>
    <t xml:space="preserve"> - Nhà lớp học bản Vang Hồ xã Nậm Vì</t>
  </si>
  <si>
    <t>xã Nậm Vì</t>
  </si>
  <si>
    <t xml:space="preserve"> - Đường giao thông liên bản Pa Lâu-Xa Vua A</t>
  </si>
  <si>
    <t xml:space="preserve"> - Đường giao thông Phiêng Muông-Phiêng Púng</t>
  </si>
  <si>
    <t xml:space="preserve"> - Thủy lợi Na Phay bản Co Kham</t>
  </si>
  <si>
    <t xml:space="preserve">Chương trình 135 </t>
  </si>
  <si>
    <t xml:space="preserve"> - SC nước sinh hoạt thôn Từ Ngài, xã Mường Báng</t>
  </si>
  <si>
    <t xml:space="preserve"> - Thủy lợi che phai, xã Luân Giói</t>
  </si>
  <si>
    <t xml:space="preserve"> -Trạm y tế xã Nà Khoa</t>
  </si>
  <si>
    <t xml:space="preserve"> - NSH Nậm Chua 2, Huổi Cơ Mông</t>
  </si>
  <si>
    <t xml:space="preserve"> - NSH Nậm Chua 1, Nậm Nhừ Con</t>
  </si>
  <si>
    <t xml:space="preserve"> - Giảm chi TPĐBP</t>
  </si>
  <si>
    <t>Chương trình đưa thông tin về cơ sở miền núi, vùng sâu, vùng xa, biên giới, hải đảo</t>
  </si>
  <si>
    <t xml:space="preserve"> - Tăng cường CSVCcho hệ thống thông tin và truyền thông cơ sở miền núi, vùng sâu, vùng xa, biên giới</t>
  </si>
  <si>
    <t>Chương trình NS&amp;VSMTNT</t>
  </si>
  <si>
    <t xml:space="preserve"> - NSH liên bản xã Thanh Chăn</t>
  </si>
  <si>
    <t xml:space="preserve"> - NSH Trung tâm xã Mường Đun</t>
  </si>
  <si>
    <t xml:space="preserve"> - Nước sinh hoạt trung tâm xã Thanh Yên</t>
  </si>
  <si>
    <t xml:space="preserve"> - Nước sinh hoạt trung tâm xã Noong Luống</t>
  </si>
  <si>
    <t xml:space="preserve"> - Nước sinh hoạt trung tâm xã Xuân Lao</t>
  </si>
  <si>
    <t>cấp nước 80 lít/người/ngày đêm cho 1.560 nhân khẩu và dự kiến cấp nước cho 2.058 nhân khẩu sau 15 năm</t>
  </si>
  <si>
    <t xml:space="preserve"> - NSH các bản lân cận và trung tâm xã Tả Sìn Thàng</t>
  </si>
  <si>
    <t xml:space="preserve"> Tủa Chùa</t>
  </si>
  <si>
    <t>2014-2015</t>
  </si>
  <si>
    <t xml:space="preserve"> - NSH trung tâm xã Sá Tổng</t>
  </si>
  <si>
    <t xml:space="preserve"> - Nâng cấp, sửa chữa nước sinh hoạt bản Huổi Trạ - xã N.Vi</t>
  </si>
  <si>
    <t xml:space="preserve"> - NSH bản Pá Vạt 1,2,3 xã Mường Luân</t>
  </si>
  <si>
    <t xml:space="preserve"> - NSH bản trống Giông A,B xã Phì Nhừ</t>
  </si>
  <si>
    <t>Chương trình XD nông thôn mới</t>
  </si>
  <si>
    <t xml:space="preserve"> - Đường bê tông QL 131- Trường tiểu học Ma Thì Hồ xã Ma Thì Hồ</t>
  </si>
  <si>
    <t>V</t>
  </si>
  <si>
    <t>Đầu tư từ nguồn thu Xổ Số và các nguồn đóng góp khác</t>
  </si>
  <si>
    <t>Đầu tư từ nguồn thu đóng góp</t>
  </si>
  <si>
    <t xml:space="preserve"> - BVĐK huyện Mường Ảng, tỉnh Điện Biên</t>
  </si>
  <si>
    <t>QĐ 555</t>
  </si>
  <si>
    <t xml:space="preserve"> - Trường tiểu học xã Sin Thầu</t>
  </si>
  <si>
    <t xml:space="preserve"> - Cầu treo Tát Hẹ xã Núa Ngam</t>
  </si>
  <si>
    <t xml:space="preserve"> - Cầu treo Nà Ín 1-2</t>
  </si>
  <si>
    <t xml:space="preserve"> - Cầu treo Na Hay xã Tìa dình</t>
  </si>
  <si>
    <t xml:space="preserve"> - Hỗ trợ hộ nghèo làm nhà ở</t>
  </si>
  <si>
    <t>Vốn sổ xố kiến thiết</t>
  </si>
  <si>
    <t xml:space="preserve"> - Trạm Y tế xã Thanh Minh</t>
  </si>
  <si>
    <t>QĐ 169</t>
  </si>
  <si>
    <t xml:space="preserve"> - Trạm Y tế phường Nam Thanh</t>
  </si>
  <si>
    <t xml:space="preserve"> - Trạm y tế phường Thanh Bình</t>
  </si>
  <si>
    <t>QĐ 993</t>
  </si>
  <si>
    <t xml:space="preserve"> - Phòng khám QLBV sức khỏe cán bộ tỉnh</t>
  </si>
  <si>
    <t>504m2</t>
  </si>
  <si>
    <t xml:space="preserve"> - Bệnh viện y học cổ truyền tỉnh GĐII</t>
  </si>
  <si>
    <t>50GB</t>
  </si>
  <si>
    <t xml:space="preserve"> - Trạm y tế xã Tà Lèng</t>
  </si>
  <si>
    <t xml:space="preserve"> - Trạm y tế phường Thanh Trường</t>
  </si>
  <si>
    <t xml:space="preserve"> - Trụ sở Phòng giáo dục huyện </t>
  </si>
  <si>
    <t xml:space="preserve"> - Trường Mầm non số 2 Sam Mứn</t>
  </si>
  <si>
    <t xml:space="preserve"> - Trạm Y tế xã Sín Chải</t>
  </si>
  <si>
    <t>TỈNH ĐIỆN BIÊN</t>
  </si>
  <si>
    <t>Phụ lục số 6 - Biểu số 49</t>
  </si>
  <si>
    <t>QUYẾT TOÁN CHI NGÂN SÁCH CẤP TỈNH CHO TỪNG CƠ QUAN ĐƠN VỊ THEO LĨNH VỰC NĂM 2015</t>
  </si>
  <si>
    <t>Đơn vị tính: triệu đồng</t>
  </si>
  <si>
    <t>Stt</t>
  </si>
  <si>
    <t>Tên đơn vị</t>
  </si>
  <si>
    <t>Dự toán năm 2015</t>
  </si>
  <si>
    <t>Quyết toán năm 2015</t>
  </si>
  <si>
    <t>Tổng số</t>
  </si>
  <si>
    <t>Chi đầu tư phát triển</t>
  </si>
  <si>
    <t>Chi thường xuyên</t>
  </si>
  <si>
    <t>Chương trình mục tiêu Quốc gia</t>
  </si>
  <si>
    <t>Chưong trình 135</t>
  </si>
  <si>
    <t>Thực hiện một số mục tiêu nhiệm vụ khác</t>
  </si>
  <si>
    <t>Chi đầu tư XDCB</t>
  </si>
  <si>
    <t>Hỗ trợ doanh nghiệp</t>
  </si>
  <si>
    <t>Sự nghiệp kinh tế</t>
  </si>
  <si>
    <t>Sự nghiệp Môi trường</t>
  </si>
  <si>
    <t>Chi trợ giá trợ cước</t>
  </si>
  <si>
    <t>Sự nghiệp Giáo dục và ĐT</t>
  </si>
  <si>
    <t>Sự nghiệp Y tế</t>
  </si>
  <si>
    <t>SN Khoa học - CN</t>
  </si>
  <si>
    <t>SN Văn hóa - Thể thao</t>
  </si>
  <si>
    <t>SN Phát thanh -truyền hình</t>
  </si>
  <si>
    <t>Chi đảm bảo XH</t>
  </si>
  <si>
    <t>UBND tỉnh, thành phố.....</t>
  </si>
  <si>
    <t>Phụ lục số 8 - Biểu số 02</t>
  </si>
  <si>
    <t>QUYẾT TOÁN THU NGÂN SÁCH NHÀ NƯỚC NĂM 2015</t>
  </si>
  <si>
    <t>Đơn vị: triệu đồng</t>
  </si>
  <si>
    <t>Nội dung</t>
  </si>
  <si>
    <t>BTC giao</t>
  </si>
  <si>
    <t>HĐND quyết định</t>
  </si>
  <si>
    <t>NSTW</t>
  </si>
  <si>
    <t>NSĐP</t>
  </si>
  <si>
    <t>NS cấp tỉnh</t>
  </si>
  <si>
    <t>NS cấp huyện</t>
  </si>
  <si>
    <t>NS cấp xã</t>
  </si>
  <si>
    <t xml:space="preserve">Tổng thu </t>
  </si>
  <si>
    <t>A</t>
  </si>
  <si>
    <t>Thu cân đối ngân sách nhà nước</t>
  </si>
  <si>
    <t>Thu trên địa bàn</t>
  </si>
  <si>
    <t>1</t>
  </si>
  <si>
    <t>Thu từ kinh tế quốc doanh</t>
  </si>
  <si>
    <t>T</t>
  </si>
  <si>
    <t xml:space="preserve"> - Thuế  GTGT hàng SX doanh trong nước</t>
  </si>
  <si>
    <t>TTDB</t>
  </si>
  <si>
    <t xml:space="preserve"> - Thuế tiêu thụ đặc biệt hàng SX trong nước</t>
  </si>
  <si>
    <t xml:space="preserve"> - Thuế thu nhập doanh nghiệp </t>
  </si>
  <si>
    <t xml:space="preserve"> - Thuế tài nguyên</t>
  </si>
  <si>
    <t xml:space="preserve"> - Thuế môn bài</t>
  </si>
  <si>
    <t xml:space="preserve"> - Thu hồi vốn và thu khác</t>
  </si>
  <si>
    <t>2</t>
  </si>
  <si>
    <t xml:space="preserve">Thu từ DN ĐT nước ngoài </t>
  </si>
  <si>
    <t xml:space="preserve"> - Thuế GTGT hàng SX-KD trong nước</t>
  </si>
  <si>
    <t>3</t>
  </si>
  <si>
    <t xml:space="preserve"> Thu từ khu vực CTN- ngoài quốc doanh</t>
  </si>
  <si>
    <t>1700 (01,49)</t>
  </si>
  <si>
    <t>1750 (53 đến 99)</t>
  </si>
  <si>
    <t>GTGT</t>
  </si>
  <si>
    <t xml:space="preserve"> - Thuế thu nhập doanh nghiệp</t>
  </si>
  <si>
    <t xml:space="preserve"> - Thu khác</t>
  </si>
  <si>
    <t>4250(53,54,64)+4900 (04)</t>
  </si>
  <si>
    <t>4</t>
  </si>
  <si>
    <t>Thuế sử dụng đất nông nghiệp và phi nông nghiệp</t>
  </si>
  <si>
    <t>5</t>
  </si>
  <si>
    <t>Thuế thu nhập cá nhân</t>
  </si>
  <si>
    <t>6</t>
  </si>
  <si>
    <t>Lệ phí trước bạ</t>
  </si>
  <si>
    <t>2800 (01,02,03,04)</t>
  </si>
  <si>
    <t>7</t>
  </si>
  <si>
    <t>Thuế bảo vệ môi trường</t>
  </si>
  <si>
    <t>8</t>
  </si>
  <si>
    <t xml:space="preserve"> Thu phí, lệ phí </t>
  </si>
  <si>
    <t>Tđó: Phí bảo vệ môi trường đối với khai thác khoáng sản</t>
  </si>
  <si>
    <t>9</t>
  </si>
  <si>
    <t>Các khoản thu về nhà đất</t>
  </si>
  <si>
    <t xml:space="preserve"> - Thuế nhà, đất</t>
  </si>
  <si>
    <t xml:space="preserve"> - Thu tiền thuê mặt đất, mặt nước</t>
  </si>
  <si>
    <t xml:space="preserve"> - Thu tiền sử dụng đất</t>
  </si>
  <si>
    <t xml:space="preserve"> + Thu cấp quyền sử dụng đất</t>
  </si>
  <si>
    <t xml:space="preserve"> + Thu đấu giá đất</t>
  </si>
  <si>
    <t xml:space="preserve"> - Thu tiền bán nhà và thuê nhà ở thuộc sở hữu NN</t>
  </si>
  <si>
    <t>3300 (01,49) + 3850 (51,99)</t>
  </si>
  <si>
    <t>10</t>
  </si>
  <si>
    <t>Thu tại xã</t>
  </si>
  <si>
    <t xml:space="preserve"> Trong đó: Thu từ quỹ đất công ích và đất công </t>
  </si>
  <si>
    <t>11</t>
  </si>
  <si>
    <t>Thu cấp quyền khai thác khoáng sản</t>
  </si>
  <si>
    <t>12</t>
  </si>
  <si>
    <t>Thu khác ngân sách</t>
  </si>
  <si>
    <t xml:space="preserve"> - Thu tiền phạt </t>
  </si>
  <si>
    <t>4250 (-52,53,54,64)</t>
  </si>
  <si>
    <t>Trong đó: Phạt VPHC trong lĩnh vực ATGT</t>
  </si>
  <si>
    <t xml:space="preserve"> - Thu tịch thu </t>
  </si>
  <si>
    <t>4300 (-01,03,05,07,08)</t>
  </si>
  <si>
    <t xml:space="preserve"> - Thu tiền bán hàng hóa vật tư dự trữ</t>
  </si>
  <si>
    <t>3200+3250</t>
  </si>
  <si>
    <t xml:space="preserve"> - Chi cho thuê quầy bán hàng</t>
  </si>
  <si>
    <t xml:space="preserve"> - Thu bán tài sản</t>
  </si>
  <si>
    <t>3350+3400+3450</t>
  </si>
  <si>
    <t xml:space="preserve"> - Thu thanh lý nhà làm việc</t>
  </si>
  <si>
    <t>3300 (02)</t>
  </si>
  <si>
    <t xml:space="preserve"> - Thu hồi các khoản chi năm trước</t>
  </si>
  <si>
    <t>4900 (02)</t>
  </si>
  <si>
    <t xml:space="preserve"> - Thu hồi vốn của NN tại các tổ chức KT</t>
  </si>
  <si>
    <t xml:space="preserve"> - Thu khác còn lại </t>
  </si>
  <si>
    <t>13</t>
  </si>
  <si>
    <t>Thu hải quan</t>
  </si>
  <si>
    <t xml:space="preserve"> - Thuế XK, thuế NK, thuế TTĐB, thuế BVMT hàng hóa NK</t>
  </si>
  <si>
    <t xml:space="preserve"> Thuế GTGT hàng nhập khẩu</t>
  </si>
  <si>
    <t>1700 (02,03)</t>
  </si>
  <si>
    <t xml:space="preserve">Thu viện trợ </t>
  </si>
  <si>
    <t>Nhóm 0300</t>
  </si>
  <si>
    <t>Thu kết dư ngân sách năm trước</t>
  </si>
  <si>
    <t>4800.</t>
  </si>
  <si>
    <t>0900</t>
  </si>
  <si>
    <t>Thu huy động ĐT theo quy định của khoản 3 điều 8 Luật NSNN</t>
  </si>
  <si>
    <t>0814</t>
  </si>
  <si>
    <t>Các khoản thu để lại quản lý qua ngân sách NN</t>
  </si>
  <si>
    <t>Học phí</t>
  </si>
  <si>
    <t>2500 (01)</t>
  </si>
  <si>
    <t>Thu xổ số kiến thiết(T)</t>
  </si>
  <si>
    <t>Thuế GTGT</t>
  </si>
  <si>
    <t>Thuế TNDN</t>
  </si>
  <si>
    <t>Thuế TTĐB</t>
  </si>
  <si>
    <t>Thuế môn bài</t>
  </si>
  <si>
    <t>Các khoản huy động đóng góp XDCSHT</t>
  </si>
  <si>
    <t>4450.(51)+4500.(01)</t>
  </si>
  <si>
    <t>Các khoản huy động đóng góp khác</t>
  </si>
  <si>
    <t>4450.(-51)+4500.(-01)</t>
  </si>
  <si>
    <t>Thu bổ sung từ ngân sách cấp trên</t>
  </si>
  <si>
    <t>4650 (51)</t>
  </si>
  <si>
    <t>4650 (-51)</t>
  </si>
  <si>
    <t xml:space="preserve"> - Bổ sung có MT bằng nguồn vốn trong nước</t>
  </si>
  <si>
    <t xml:space="preserve"> - Bổ sung có MT bằng nguồn vốn ngoài nước</t>
  </si>
  <si>
    <t>D</t>
  </si>
  <si>
    <t>Chú thích:</t>
  </si>
  <si>
    <t xml:space="preserve">          (1) - Bao gồm: Doanh nghiệp tư nhân, Công ty trách nhiệm hữu hạn, Công ty cổ phần, Công ty nước ngoài hoạt động kinh doanh thông qua cơ sở thường trú tại Việt Nam, Hợp tác xã sản xuất - kinh doanh - dịch vụ</t>
  </si>
  <si>
    <t xml:space="preserve">          (2) - Bao gồm: Cá nhân và nhóm cá nhân kinh doanh, hộ cá thể, cá nhân hành nghề độc lập, cá nhân cho thuê tài sản, cá nhân nước ngoài kinh doanh có thu nhập phát sinh tại Việt Nam</t>
  </si>
  <si>
    <t>Tòa án tỉnh</t>
  </si>
  <si>
    <t>Chi quản lý hành chính</t>
  </si>
  <si>
    <t>Chi AN - QP</t>
  </si>
  <si>
    <t>Chi khác ngân sách</t>
  </si>
  <si>
    <t>Chi chương trình mục tiêu quốc gia</t>
  </si>
  <si>
    <t>Chương  trình 135</t>
  </si>
  <si>
    <t>Chi khác NS</t>
  </si>
  <si>
    <t>Trong đó</t>
  </si>
  <si>
    <t>Chi XDCB tập trung</t>
  </si>
  <si>
    <t>Chi đầu tư XDCB tập trung</t>
  </si>
  <si>
    <t>Giáo dục đào tạo và dạy nghề</t>
  </si>
  <si>
    <t>Khoa học và công nghệ</t>
  </si>
  <si>
    <t>Chi Đầu tư tập trung</t>
  </si>
  <si>
    <t>ĐT từ thu Xổ số và các nguồn vốn khác</t>
  </si>
  <si>
    <t>I</t>
  </si>
  <si>
    <t>Các cơ quan đơn vị của tỉnh</t>
  </si>
  <si>
    <t>Tỉnh ủy Điện Biên</t>
  </si>
  <si>
    <t>Trường Chính trị tỉnh</t>
  </si>
  <si>
    <t>Sở kế hoạch-Đầu tư</t>
  </si>
  <si>
    <t>Hội cựu chiến binh</t>
  </si>
  <si>
    <t>Mặt trận tổ quốc</t>
  </si>
  <si>
    <t>Hội nông dân</t>
  </si>
  <si>
    <t>Hội liên hiệp phụ nữ</t>
  </si>
  <si>
    <t>Sở tư pháp</t>
  </si>
  <si>
    <t>Văn phòng Uỷ ban tỉnh</t>
  </si>
  <si>
    <t xml:space="preserve">Trường cao đẳng KTKT tổng hợp </t>
  </si>
  <si>
    <t>Sở Tài nguyên MT</t>
  </si>
  <si>
    <t>Sở Khoa học và CN</t>
  </si>
  <si>
    <t>Sở giao thông vận tải</t>
  </si>
  <si>
    <t>Sở Tài chính</t>
  </si>
  <si>
    <t>Văn phòng Đoàn ĐBQH và HĐND</t>
  </si>
  <si>
    <t>Sở Giáo dục-Đào tạo</t>
  </si>
  <si>
    <t>Sở Y tế</t>
  </si>
  <si>
    <t>Sở Nông nghiệp</t>
  </si>
  <si>
    <t xml:space="preserve">Sở Công thương </t>
  </si>
  <si>
    <t>Sở Lao LĐTB và XH</t>
  </si>
  <si>
    <t>Đài phát thanh-truyền hình</t>
  </si>
  <si>
    <t>Thanh tra Tỉnh</t>
  </si>
  <si>
    <t>Sở nội vụ</t>
  </si>
  <si>
    <t>Sở xây dựng</t>
  </si>
  <si>
    <t>HĐ Liên minh HTX</t>
  </si>
  <si>
    <t>Sở ngoại vụ</t>
  </si>
  <si>
    <t>Tỉnh đoàn thanh niên</t>
  </si>
  <si>
    <t>Ban dân tộc</t>
  </si>
  <si>
    <t>Bộ chỉ huy quân sự tỉnh</t>
  </si>
  <si>
    <t>QUYẾT TOÁN CHI ĐẦU TƯ XDCB CÁC DỰ ÁN, CÔNG TRÌNH THUỘC NGUỒN VỐN NGÂN SÁCH ĐẦU TƯ NĂM NĂM 2015</t>
  </si>
  <si>
    <t>29.1</t>
  </si>
  <si>
    <t>29.2</t>
  </si>
  <si>
    <t>29.3</t>
  </si>
  <si>
    <t>29.4</t>
  </si>
  <si>
    <t>30.5</t>
  </si>
  <si>
    <t>Đầu tư theo Quyết định 293/QĐ-TTg</t>
  </si>
  <si>
    <t xml:space="preserve">Kinh phí thực hiện QĐ 755/QĐ-TTg </t>
  </si>
  <si>
    <t>Sở thông tin và truyền thông</t>
  </si>
  <si>
    <t>Liên đoàn Lao động</t>
  </si>
  <si>
    <t>Sở Văn hóa thể thao và du lịch</t>
  </si>
  <si>
    <t>Trường cao đẳng nghề</t>
  </si>
  <si>
    <t>Bảo hiểm xã hội tỉnh</t>
  </si>
  <si>
    <t>Văn phòng chuyên trách Ban ATGT</t>
  </si>
  <si>
    <t>Quỹ bảo vệ môi trường</t>
  </si>
  <si>
    <t>Chi nhánh Ngân hàng phát triển</t>
  </si>
  <si>
    <t>Ban quản lý di tích</t>
  </si>
  <si>
    <t>Kho bạc nhà nước</t>
  </si>
  <si>
    <t>Ngân hàng Chính sách xã hội</t>
  </si>
  <si>
    <t>Bộ đội biên phòng</t>
  </si>
  <si>
    <t>Công An tỉnh</t>
  </si>
  <si>
    <t>Công ty TNHH cấp nước Điện Biên</t>
  </si>
  <si>
    <t>Cty TNHH QL thủy nông ĐB</t>
  </si>
  <si>
    <t>C ty TNHH XD &amp; dịch vụ thủy lợi ĐB</t>
  </si>
  <si>
    <t>Cty cổ phần XD thủy lợi ĐB</t>
  </si>
  <si>
    <t>Quỹ dự trữ tài chính</t>
  </si>
  <si>
    <t>Lữ đoàn 82 (HT)</t>
  </si>
  <si>
    <t>Công ty cao su Mường Nhé</t>
  </si>
  <si>
    <t>Đoàn 379</t>
  </si>
  <si>
    <t>II</t>
  </si>
  <si>
    <t>Hỗ trợ hội, Đoàn thể</t>
  </si>
  <si>
    <t>Hội chữ thập đỏ</t>
  </si>
  <si>
    <t>Hội khuyến học</t>
  </si>
  <si>
    <t>Hội văn học nghệ thuật</t>
  </si>
  <si>
    <t>Hội Cựu chiến binh dân chính Đảng</t>
  </si>
  <si>
    <t>Hội người cao tuổi</t>
  </si>
  <si>
    <t xml:space="preserve"> Hội Luật gia tỉnh ĐB</t>
  </si>
  <si>
    <t xml:space="preserve"> Hội Đông Y</t>
  </si>
  <si>
    <t>Hội cựu thanh niên xung phong</t>
  </si>
  <si>
    <t>Hội Nhà báo</t>
  </si>
  <si>
    <t>Hội nạn nhân chất độc da cam</t>
  </si>
  <si>
    <t>Hội liên hiệp các hội khoa học kỹ thuật</t>
  </si>
  <si>
    <t>Các huyện, thị xã, thành phố</t>
  </si>
  <si>
    <t>Ủy ban nhân dân huyện Điện Biên</t>
  </si>
  <si>
    <t>UBND huyện Điện Biên Đông</t>
  </si>
  <si>
    <t xml:space="preserve">UBND huyện Mường Ảng </t>
  </si>
  <si>
    <t>UBND huyện Mường Chà</t>
  </si>
  <si>
    <t>UBND huyện Mường Nhé</t>
  </si>
  <si>
    <t>UBND huyện Nậm Pồ</t>
  </si>
  <si>
    <t>UBND huyện Tủa Chùa</t>
  </si>
  <si>
    <t>UBND huyện Tuần Giáo</t>
  </si>
  <si>
    <t xml:space="preserve">Trả gốc, lãi vay ĐT hỗ trợ lãi suất vay </t>
  </si>
  <si>
    <t>Quỹ hoàn lương</t>
  </si>
  <si>
    <t>Cty xi măng Điện Biên</t>
  </si>
  <si>
    <t>UBND Thành phố Điện Biên Phủ</t>
  </si>
  <si>
    <t>STT</t>
  </si>
  <si>
    <t>HUYỆN, THỊ XÃ, THÀNH PHỐ THUỘC TỈNH</t>
  </si>
  <si>
    <t>I. CHI ĐẦU TƯ PHÁT TRIỂN</t>
  </si>
  <si>
    <t>II. CHI THƯỜNG XUYÊN</t>
  </si>
  <si>
    <t>III. CHI CHUYỂN NGUỒN</t>
  </si>
  <si>
    <t>IV. CHI NỘP NGÂN SÁCH CẤP TRÊN</t>
  </si>
  <si>
    <t>SO SÁNH DT/QT (%)</t>
  </si>
  <si>
    <t>NĂM 2007</t>
  </si>
  <si>
    <t>TỔNG SỐ</t>
  </si>
  <si>
    <t>TR ĐÓ: GIÁO DỤC-ĐT</t>
  </si>
  <si>
    <t>TR ĐÓ GIÁO DỤC-ĐT</t>
  </si>
  <si>
    <t>GD-ĐT</t>
  </si>
  <si>
    <t>Điện Biên</t>
  </si>
  <si>
    <t>Tuần Giáo</t>
  </si>
  <si>
    <t>Mường Ảng</t>
  </si>
  <si>
    <t>Mường Chà</t>
  </si>
  <si>
    <t>Tủa Chùa</t>
  </si>
  <si>
    <t>Điện Biên Đông</t>
  </si>
  <si>
    <t>TP Điện Biên Phủ</t>
  </si>
  <si>
    <t>Thị xã Mường Lay</t>
  </si>
  <si>
    <t>Nậm Pồ</t>
  </si>
  <si>
    <t>QUYẾT TOÁN CHI NGÂN SÁCH THEO MỘT SỐ LĨNH VỰC CỦA TỪNG HUYỆN, THỊ XÃ, THÀNH PHỐ THUỘC TỈNH NĂM 2015</t>
  </si>
  <si>
    <t>DỰ TOÁN NĂM 2015</t>
  </si>
  <si>
    <t>QUYẾT TOÁN NĂM 2015</t>
  </si>
  <si>
    <t>Mường Nhé</t>
  </si>
  <si>
    <t>Phụ lục số 6 - Biểu số 51</t>
  </si>
  <si>
    <t>QUYẾT TOÁN CHI BỔ SUNG TỪ NGÂN SÁCH CẤP TỈNH CHO NGÂN SÁCH</t>
  </si>
  <si>
    <t>Huyện, thị xã, thành phố thuộc tỉnh</t>
  </si>
  <si>
    <t>So sánh QT/DT (%)</t>
  </si>
  <si>
    <t>Bao gồm</t>
  </si>
  <si>
    <t>Bổ sung cân đối</t>
  </si>
  <si>
    <t>Bổ sung có mục tiêu</t>
  </si>
  <si>
    <t>TỪNG HUYỆN, THỊ XÃ, THÀNH PHỐ THUỘC TỈNH NĂM 2015</t>
  </si>
  <si>
    <t>Chi cục thống kê</t>
  </si>
  <si>
    <t>Phụ lục số 6 - Biểu số 37</t>
  </si>
  <si>
    <t>NỘI DUNG</t>
  </si>
  <si>
    <t>DỰ TOÁN</t>
  </si>
  <si>
    <t>QUYẾT TOÁN</t>
  </si>
  <si>
    <t>SO SÁNH QT/DT</t>
  </si>
  <si>
    <t xml:space="preserve">A </t>
  </si>
  <si>
    <t>Ngân sách cấp tỉnh</t>
  </si>
  <si>
    <t>Nguồn thu ngân sách cấp tỉnh</t>
  </si>
  <si>
    <t>Thu ngân sách cấp tỉnh hưởng theo phân cấp</t>
  </si>
  <si>
    <t xml:space="preserve"> - Các khoản thu ngân sách tỉnh hưởng 100%</t>
  </si>
  <si>
    <t xml:space="preserve"> - Các khoản thu phân chia ngân sách tỉnh hưởng theo tỷ lệ %</t>
  </si>
  <si>
    <t>Bổ sung từ ngân sách Trung ương</t>
  </si>
  <si>
    <t xml:space="preserve"> - Bổ sung cân đối</t>
  </si>
  <si>
    <t xml:space="preserve"> - Bổ sung có mục tiêu</t>
  </si>
  <si>
    <t xml:space="preserve"> - Bổ sung TH CCTL đến mức tiền lương cơ sở 1.150.000 đ/tháng</t>
  </si>
  <si>
    <t>Thu chuyển nguồn</t>
  </si>
  <si>
    <t>Thu kết dư</t>
  </si>
  <si>
    <t>Vay huy động đầu tư theo K3 - Đ8 Luật NSNN</t>
  </si>
  <si>
    <t>Thu ngân sách cấp dưới nộp lên</t>
  </si>
  <si>
    <t>Thu viện trợ</t>
  </si>
  <si>
    <t>Các nguồn thu đơn vị để lại quản lý chi qua ngân sách</t>
  </si>
  <si>
    <t>Chi ngân sách cấp tỉnh</t>
  </si>
  <si>
    <t>Chi thuộc nhiệm vụ của ngân sách cấp tỉnh theo phân cấp (không kể bổ sung cho ngân sách cấp dưới)</t>
  </si>
  <si>
    <t>Bổ sung cho ngân sách huyện, thị xã, thành phố thuộc tỉnh</t>
  </si>
  <si>
    <t>Chi trả nợ gốc vay huy động đầu tư theo Đ3-K8 Luật NSNN</t>
  </si>
  <si>
    <t>Chi chuyển nguồn</t>
  </si>
  <si>
    <t>Chi bố sung quỹ dự trữ tài chính</t>
  </si>
  <si>
    <t>Chi bằng nguồn thu để lại đơn vị chi quản lý qua NS</t>
  </si>
  <si>
    <t>B</t>
  </si>
  <si>
    <t>Ngân sách huyện, thị xã, thành phố</t>
  </si>
  <si>
    <t>Thu ngân sách cấp huyện, thị xã, thành phố thuộc tỉnh</t>
  </si>
  <si>
    <t>Thu ngân sách hưởng theo phân cấp</t>
  </si>
  <si>
    <t xml:space="preserve"> - Các khoản thu ngân sách huyện hưởng 100%</t>
  </si>
  <si>
    <t xml:space="preserve"> - Các khoản thu phân chia ngân sách huyện hưởng theo tỷ lệ %</t>
  </si>
  <si>
    <t>Thu bổ sung từ ngân sách cấp tỉnh</t>
  </si>
  <si>
    <t>Các khoản thu để lại đơn vị quản lý chi qua NS</t>
  </si>
  <si>
    <t>Chi ngân sách cấp huyện, thị xã, thành phố thuộc tỉnh</t>
  </si>
  <si>
    <t>QUYẾT TOÁN NGÂN SÁCH CẤP TỈNH VÀ NGÂN SÁCH CẤP HUYỆN NĂM 2015</t>
  </si>
  <si>
    <t>Dự phòng ngân sách</t>
  </si>
  <si>
    <t>Chi nộp trả ngân sách cấp trên</t>
  </si>
  <si>
    <t xml:space="preserve"> </t>
  </si>
  <si>
    <t>Đơn vị tính: Đồng</t>
  </si>
  <si>
    <t>UBND TỈNH ĐIỆN BIÊN</t>
  </si>
  <si>
    <t xml:space="preserve">QUYẾT TOÁN CHI CHƯƠNG TRÌNH MỤC TIÊU QUỐC GIA, CHƯƠNG TRÌNH 135, </t>
  </si>
  <si>
    <t xml:space="preserve"> MỘT SỐ MỤC TIÊU NHIỆM VỤ KHÁC NĂM 2015</t>
  </si>
  <si>
    <t xml:space="preserve">D TOÁN NĂM 2015 </t>
  </si>
  <si>
    <t>CHIA RA</t>
  </si>
  <si>
    <t>Q TOÁN NĂM 2015</t>
  </si>
  <si>
    <t>NĂM 2006</t>
  </si>
  <si>
    <t>CẤP TỈNH THỰC HIỆN</t>
  </si>
  <si>
    <t>CẤP HUYỆN THỰC HIỆN</t>
  </si>
  <si>
    <t>Vốn Đ tư</t>
  </si>
  <si>
    <t>Vốn SN</t>
  </si>
  <si>
    <t>Vốn Đtư</t>
  </si>
  <si>
    <t>Vốn đtư</t>
  </si>
  <si>
    <t>CT mục tiêu quốc gia</t>
  </si>
  <si>
    <t>Chương trình giảm nghèo</t>
  </si>
  <si>
    <t xml:space="preserve"> - Chương trình 30a</t>
  </si>
  <si>
    <t xml:space="preserve"> + Đầu tư cơ sở hạ tầng</t>
  </si>
  <si>
    <t xml:space="preserve"> + Hỗ trợ phát triển SX, giáo dục đào tạo và dạy nghề</t>
  </si>
  <si>
    <t xml:space="preserve"> - Đầu tư theo Quyết định 293/QĐ-TTg</t>
  </si>
  <si>
    <t xml:space="preserve"> - Chương trình 135</t>
  </si>
  <si>
    <t xml:space="preserve"> + Vốn viện trợ của Chính phủ Ai Len</t>
  </si>
  <si>
    <t xml:space="preserve"> + Dự án hỗ trợ phát triển SX </t>
  </si>
  <si>
    <t xml:space="preserve"> - Nhân rộng mô hình giảm nghèo</t>
  </si>
  <si>
    <t xml:space="preserve"> -  Nâng cao năng lực giảm nghèo, truyền thông, giám sát đánh giá</t>
  </si>
  <si>
    <t>Chương trình việc làm và dạy nghề</t>
  </si>
  <si>
    <t xml:space="preserve"> - Đổi mới và phát triển dạy nghề</t>
  </si>
  <si>
    <t xml:space="preserve"> - Hỗ trợ phát triển thị trường lao động</t>
  </si>
  <si>
    <t xml:space="preserve"> - Hỗ trợ đưa lao động đi làm việc ở nước ngoài theo hợp đồng</t>
  </si>
  <si>
    <t xml:space="preserve"> - Đào tạo nghề cho lao động nông thôn</t>
  </si>
  <si>
    <t xml:space="preserve"> + Bồi dưỡng cán bộ, giáo viên, người dạy nghề, XD chương trình học liệu</t>
  </si>
  <si>
    <t xml:space="preserve"> + Hỗ trợ lao động nông thôn học nghề, thí điểm các mô hình dạy nghề</t>
  </si>
  <si>
    <t xml:space="preserve"> + Dạy nghề cho người khuyết tật</t>
  </si>
  <si>
    <t xml:space="preserve"> + Đào tạo bồi dưỡng cán bộ công chức cấp xã</t>
  </si>
  <si>
    <t xml:space="preserve"> + Dạy nghề cho học viên tại Trung tâm chữa bệnh - giáo dục - LĐXH</t>
  </si>
  <si>
    <t xml:space="preserve"> - Hoạt động giám sát đánh giá</t>
  </si>
  <si>
    <t xml:space="preserve"> + Đào tạo tập huấn cán bộ việc làm, dạy nghề</t>
  </si>
  <si>
    <t xml:space="preserve"> + Giám sát đánh giá</t>
  </si>
  <si>
    <t>CT dân số và KHH GĐ</t>
  </si>
  <si>
    <t xml:space="preserve">CT y tế </t>
  </si>
  <si>
    <t>CT phòng chống  HIV/ADIS</t>
  </si>
  <si>
    <t>CT vệ sinh an toàn thực phẩm</t>
  </si>
  <si>
    <t>CT nước sạch và VSMT</t>
  </si>
  <si>
    <t>Chương trình văn hóa</t>
  </si>
  <si>
    <t>Chương trình giáo dục-Đào tạo</t>
  </si>
  <si>
    <t>CT phòng chống tội phạm</t>
  </si>
  <si>
    <t>Chương trình phòng chống ma túy</t>
  </si>
  <si>
    <t>CT đưa thông tin về cơ sở, MN, vùng sâu vùng xa</t>
  </si>
  <si>
    <t>CT xây dựng nông thôn mới</t>
  </si>
  <si>
    <t>Chương trình 135</t>
  </si>
  <si>
    <t>Một số mục tiêu, nhiệm vụ khác</t>
  </si>
  <si>
    <t xml:space="preserve"> - Đầu tư bằng nguồn vốn nước ngoài</t>
  </si>
  <si>
    <t xml:space="preserve"> + Chương trình đảm bảo chất lượng giáo dục</t>
  </si>
  <si>
    <t xml:space="preserve"> + Đầu tư từ các các dự án khác</t>
  </si>
  <si>
    <t xml:space="preserve"> - Chương trình đảm bảo chất lượng giáo dục</t>
  </si>
  <si>
    <t xml:space="preserve"> - KP tôn tạo, trung tu di tích lịch sử  ĐBP</t>
  </si>
  <si>
    <t xml:space="preserve"> - Đầu tư phát triển kinh tế - xã hội các vùng</t>
  </si>
  <si>
    <t xml:space="preserve"> - Đầu tư theo Nghị quyết Quốc hội</t>
  </si>
  <si>
    <t xml:space="preserve"> - Đầu tư khu kinh tế cửa khẩu</t>
  </si>
  <si>
    <t xml:space="preserve"> - Đầu tư hạ tầng du lịch</t>
  </si>
  <si>
    <t xml:space="preserve"> - HT Đầu tư  các tuyến biên giới Việt - Trung, Lào và CamPuChia</t>
  </si>
  <si>
    <t xml:space="preserve"> - Quản lý biên giới, đường tuần tra BG</t>
  </si>
  <si>
    <t xml:space="preserve"> - Hỗ trợ đầu tư các trung tâm Y tế </t>
  </si>
  <si>
    <t xml:space="preserve"> - Nguồn vượt thu và kết dư  ngân sách năm 2010, 2011</t>
  </si>
  <si>
    <t xml:space="preserve"> - KP di dân ra khỏi vùng sạt lở, lũ ống, lũ quyét</t>
  </si>
  <si>
    <t xml:space="preserve"> - Hỗ trợ vốn đối ứng các dự án (ODA)</t>
  </si>
  <si>
    <t xml:space="preserve"> - Đầu tư huyện mới chia tách</t>
  </si>
  <si>
    <t xml:space="preserve"> - CT bố trí, sắp xếp lại dân cư theo quyết định 193</t>
  </si>
  <si>
    <t xml:space="preserve"> - HTsử lý công trình đê kè sạt lở cấp bách, phòng chống lụt bão</t>
  </si>
  <si>
    <t xml:space="preserve"> - Chương trình kiên cố hóa trường học</t>
  </si>
  <si>
    <t xml:space="preserve"> - Chương trình bảo vệ và phát triển rừng</t>
  </si>
  <si>
    <t xml:space="preserve"> - Hỗ trợ đầu tư trung tâm giáo dục - lao động - chữa bệnh xã hội</t>
  </si>
  <si>
    <t xml:space="preserve"> - Đề án sắp xếp dân di cư tự  do Mường Nhé </t>
  </si>
  <si>
    <t xml:space="preserve"> - Hỗ trợ đầu tư theo Quyết định 755/QĐ-TTg </t>
  </si>
  <si>
    <t xml:space="preserve"> - KP ổn định ĐCĐC theo QĐ 33/QĐ-TTg  và QĐ 1342/QĐ-TTg </t>
  </si>
  <si>
    <t xml:space="preserve"> - Hỗ trợ nhà ở cho hộ nghèo theo Quyết Định 167/2008/QĐ-TTg</t>
  </si>
  <si>
    <t xml:space="preserve"> -  Đầu tư giống nông, lâm nghiệp, thủy sản</t>
  </si>
  <si>
    <t xml:space="preserve"> - HT người có công với CM về nhà ở</t>
  </si>
  <si>
    <t xml:space="preserve"> - Nguồn dự phòng ngân sách TW</t>
  </si>
  <si>
    <t xml:space="preserve"> - HT Dự án cấp bách của địa phương</t>
  </si>
  <si>
    <t xml:space="preserve"> - Kinh phí thực hiện Nghị Quyết 30a</t>
  </si>
  <si>
    <t xml:space="preserve"> - Đối ứng các dự án giảm nghèo</t>
  </si>
  <si>
    <t xml:space="preserve"> - KP khắc phục hậu quả mưa lũ</t>
  </si>
  <si>
    <t xml:space="preserve"> - Đầu tư theo quyết định 293</t>
  </si>
  <si>
    <t xml:space="preserve"> -  Hỗ trợ đồng bào thiểu số ít người</t>
  </si>
  <si>
    <t xml:space="preserve"> + Hỗ trợ dân tộc ít người theo Quyết định 1672/QĐ-TTg (DT Cống)</t>
  </si>
  <si>
    <t xml:space="preserve"> + Hỗ trợ dân tộc ít người (DT Si La)</t>
  </si>
  <si>
    <t xml:space="preserve"> - Hỗ trợ sáng tạo nghệ thuật</t>
  </si>
  <si>
    <t xml:space="preserve"> - KP đo đạc, lập cơ sở dữ liệu, hồ sơ địa chính</t>
  </si>
  <si>
    <t xml:space="preserve"> - CT quốc gia về bảo vệ trẻ em</t>
  </si>
  <si>
    <t xml:space="preserve"> - KP hiện đề án PT nghề công tác xã hội</t>
  </si>
  <si>
    <t xml:space="preserve"> - Kinh phí phân giới cắm mốc</t>
  </si>
  <si>
    <t xml:space="preserve"> - Chương trình quốc gia bảo hộ ATVSLĐ</t>
  </si>
  <si>
    <t xml:space="preserve"> - KP hỗ trợ phát triển ngành Y tế do EU tài trợ</t>
  </si>
  <si>
    <t xml:space="preserve"> - Kinh phí đào tạo bồi dưỡng CB HTX xã</t>
  </si>
  <si>
    <t xml:space="preserve"> - CS bảo vệ và phát triển đất trồng lúa</t>
  </si>
  <si>
    <t xml:space="preserve"> - Chương trình hành động phòng chống mại dâm</t>
  </si>
  <si>
    <t xml:space="preserve"> - KP thực hiện đề án đào tạo bồi dưỡng CB Hội Phụ nữ </t>
  </si>
  <si>
    <t xml:space="preserve"> - Chương trình quốc gia vế bình đẳng giới</t>
  </si>
  <si>
    <t xml:space="preserve"> - Đề án trợ giúp XH và phục hồi chức năng cho người bị tâm thần</t>
  </si>
  <si>
    <t xml:space="preserve"> - Khắc phục hậu quả hạn hán và sâm nhập mặn</t>
  </si>
  <si>
    <t xml:space="preserve"> - DA hoàn thiện, hiện đại hóa hồ sơ, bản đồ ĐGHC và XD CS dữ liệu DGHC</t>
  </si>
  <si>
    <t xml:space="preserve"> - Trợ giúp pháp lý cho người nghèo DT thiểu số</t>
  </si>
  <si>
    <t>Nguồn vốn</t>
  </si>
  <si>
    <t xml:space="preserve"> Địa điểm XD</t>
  </si>
  <si>
    <t>Thời gian KC-HT</t>
  </si>
  <si>
    <t>Năng lực thiết kế</t>
  </si>
  <si>
    <t>Tổng DT được duyệt</t>
  </si>
  <si>
    <t>Giá trị KL thực hiện từ KC đến 2015</t>
  </si>
  <si>
    <t>Đã TT từ KC đến 2015</t>
  </si>
  <si>
    <t>Kế hoạch năm 2015</t>
  </si>
  <si>
    <t>Kinh phí quyết toán năm 2015</t>
  </si>
  <si>
    <t>Chuyền nguồn năm 2014 sang năm 2015</t>
  </si>
  <si>
    <t>Kế hoạch giao, điều chỉnh, bổ sung trong năm 2015</t>
  </si>
  <si>
    <t>KH vốn điều chuyển theo QĐ 600/QĐ-UBND</t>
  </si>
  <si>
    <t>Kế hoạch vốn sau điều chuyển</t>
  </si>
  <si>
    <t>Nộp trả tạm ứng năm 2004-2014 trong năm 2015</t>
  </si>
  <si>
    <t>Chuyển nguồn năm 2015 sang năm 2016</t>
  </si>
  <si>
    <t>Kế hoạch vốn còn lại</t>
  </si>
  <si>
    <t>T.đó: Thanh toán KL các năm trước chuyển sang</t>
  </si>
  <si>
    <t>Chia theo nguồn vốn</t>
  </si>
  <si>
    <t>Vốn tạm ứng chưa thu hồi các năm trước chuyển sang năm 2015</t>
  </si>
  <si>
    <t>Vốn năm trước chuyển sang</t>
  </si>
  <si>
    <t>Vốn tạm ứng chưa thu hồi</t>
  </si>
  <si>
    <t>Kinh phí năm 2015 được phép kế dài thanh toán đến hết 31/12/2016</t>
  </si>
  <si>
    <t>Vốn trong nước</t>
  </si>
  <si>
    <t>T.đó: Hoạt động K3-Đ8 Luật NSNN</t>
  </si>
  <si>
    <t>Vốn nước ngoài</t>
  </si>
  <si>
    <t>Kinh phí quyết toán thuộc vốn kế hoạch năm 2015</t>
  </si>
  <si>
    <t>Kinh phí thuộc kế hoạch năm 2014 chuyển sang</t>
  </si>
  <si>
    <t>Kinh phí hoàn ứng năm 2004 đến năm 2014</t>
  </si>
  <si>
    <t>Tăng</t>
  </si>
  <si>
    <t>Giảm</t>
  </si>
  <si>
    <t>Cộng</t>
  </si>
  <si>
    <t>Kinh phí tạm ứng từ năm 2004 đến 2014 chưa thu hồi</t>
  </si>
  <si>
    <t>Tạm ứng chưa thu hồi năm 2015</t>
  </si>
  <si>
    <t>Vốn trong cân đối</t>
  </si>
  <si>
    <t xml:space="preserve">Đầu tư từ đất </t>
  </si>
  <si>
    <t>1.1</t>
  </si>
  <si>
    <t>Chi đầu tư từ nguồn thu sử dụng đất</t>
  </si>
  <si>
    <t>*</t>
  </si>
  <si>
    <t>Chuyển tiếp</t>
  </si>
  <si>
    <t xml:space="preserve"> - Trụ sở xã Pú Nhung</t>
  </si>
  <si>
    <t>Tuần giáo</t>
  </si>
  <si>
    <t xml:space="preserve"> - Trụ sở xã Nà Sáy</t>
  </si>
  <si>
    <t>Trụ sở các xã mới chia tách năm 2012</t>
  </si>
  <si>
    <t xml:space="preserve"> - Xã Nậm Tin + xã Huổi Lếch</t>
  </si>
  <si>
    <t>M.nhé</t>
  </si>
  <si>
    <t xml:space="preserve"> - Xã Nậm Nhừ + Nậm Chua + Vàng Đan</t>
  </si>
  <si>
    <t xml:space="preserve"> - Xã Huổi Mí</t>
  </si>
  <si>
    <t>M.chà</t>
  </si>
  <si>
    <t xml:space="preserve"> - Xã Pa Ham</t>
  </si>
  <si>
    <t xml:space="preserve"> - Xã Hua Thanh</t>
  </si>
  <si>
    <t xml:space="preserve"> - Xã Sam Mứn</t>
  </si>
  <si>
    <t>"</t>
  </si>
  <si>
    <t xml:space="preserve"> - Xã Hẹ Muông</t>
  </si>
  <si>
    <t xml:space="preserve"> - Xã Na Tông</t>
  </si>
  <si>
    <t xml:space="preserve"> - Xã Mường Lói</t>
  </si>
  <si>
    <t xml:space="preserve"> - Xã Pa Khoang</t>
  </si>
  <si>
    <t xml:space="preserve"> - Xã Nà Tòng</t>
  </si>
  <si>
    <t>TGiáo</t>
  </si>
  <si>
    <t xml:space="preserve"> - Xã Pú Xi</t>
  </si>
  <si>
    <t xml:space="preserve"> - Xã Rạng Đông</t>
  </si>
  <si>
    <t xml:space="preserve"> - Xã Chiềng Đông</t>
  </si>
  <si>
    <t xml:space="preserve"> - Xã Mường Khong</t>
  </si>
  <si>
    <t xml:space="preserve"> - Sửa chữa đường Nà Sáy- Mường Khong</t>
  </si>
  <si>
    <t xml:space="preserve"> - Sửa chữa đường từ bản Lúm - trụ sở xã Pú Xi</t>
  </si>
  <si>
    <t>1.3</t>
  </si>
  <si>
    <t xml:space="preserve">Đầu tư từ nguồn tăng thu cấp quyền sử dụng đất </t>
  </si>
  <si>
    <t xml:space="preserve"> - Nâng cấp thủy lợi đội 14 xã Thanh Chăn</t>
  </si>
  <si>
    <t>HĐBiên</t>
  </si>
  <si>
    <t xml:space="preserve"> - Nhà thi đấu đa năng</t>
  </si>
  <si>
    <t xml:space="preserve"> - Trung tâm học tập cộng đồng xã Thanh Chăn</t>
  </si>
  <si>
    <t xml:space="preserve"> - SC nâng cấp sân vận động</t>
  </si>
  <si>
    <t xml:space="preserve"> - Các hạng mục công trình trường THCS Thanh Chăn</t>
  </si>
  <si>
    <t xml:space="preserve"> - NC Trụ sở xã Thanh Chăn</t>
  </si>
  <si>
    <t xml:space="preserve"> - Đường liên thôn đội 4+ đội 5 xã Thanh Chăn</t>
  </si>
  <si>
    <t xml:space="preserve"> - Đường GT đội 4 bản Việt Thanh xã Thanh Chăn</t>
  </si>
  <si>
    <t xml:space="preserve"> - Đường GT đội 5 bản Việt Thanh xã Thanh Chăn</t>
  </si>
  <si>
    <t xml:space="preserve"> - Đường GT đội 14 bản Pa Lếch Xã Thanh Chăn</t>
  </si>
  <si>
    <t xml:space="preserve"> - Đường GT đội 15.17T Hà + T Sơn Thanh Chăn</t>
  </si>
  <si>
    <t xml:space="preserve"> - Đường GT đội 10a Thanh Hông 10a Thanh Chăn</t>
  </si>
  <si>
    <t xml:space="preserve"> - Đường GT đội 10b Thanh Hông 10b Thanh Chăn</t>
  </si>
  <si>
    <t xml:space="preserve"> - Đường giao thông đội 11 (Thanh Hông 11) Thanh Chăn</t>
  </si>
  <si>
    <t xml:space="preserve"> - Đường GT đội 9 bản Hồng Lếch Cang Thanh Chăn</t>
  </si>
  <si>
    <t xml:space="preserve"> - Đường GT đội 18 bản Na Khưa Thanh Chăn</t>
  </si>
  <si>
    <t xml:space="preserve"> - Đường GT đội 12 bản co My Thanh Chăn</t>
  </si>
  <si>
    <t xml:space="preserve"> - Đường GT đội 1 bản Púng Nghịu Thanh Chăn</t>
  </si>
  <si>
    <t xml:space="preserve"> - Đường GT đội 2 bản Pom Mỏ Thái Thanh Chăn</t>
  </si>
  <si>
    <t xml:space="preserve"> - Đường GT đội 3 bản Pom Mỏ Thổ Thanh Chăn</t>
  </si>
  <si>
    <t xml:space="preserve"> - Đoạn đường từ Nha tư đến đội 7 giáp đường nhựa Thanh Chăn</t>
  </si>
  <si>
    <t xml:space="preserve"> - Đường từ ngã 3 ông Bàng đội 11 đến đội 15 Na Khưa Thanh Chăn</t>
  </si>
  <si>
    <t xml:space="preserve"> - Đường vào HTX thuỷ sản Thanh Chăn</t>
  </si>
  <si>
    <t xml:space="preserve"> - Đường liên thôn Na Khưa - Pom Mỏ Thái - Pom Mỏ Thổ xã TChăn</t>
  </si>
  <si>
    <t xml:space="preserve"> - Đường liên xã bản Na Khưa xã Thanh Chăn - xã Thanh Yên</t>
  </si>
  <si>
    <t xml:space="preserve"> - Đường liên bản Pá Lếch - Na Khưa Thanh Chăn</t>
  </si>
  <si>
    <t xml:space="preserve"> - Đường liên thôn bản Phai Đin - Thôn nhà trường Thanh Chăn</t>
  </si>
  <si>
    <t xml:space="preserve"> - Đường liên thôn bản Pom Mỏ Thái - Púng Nghịu Thanh Chăn</t>
  </si>
  <si>
    <t xml:space="preserve"> - Đường liên đội 15 - Bản Na Khưa Thanh Chăn</t>
  </si>
  <si>
    <t xml:space="preserve"> - NC đài tưởng niệm Thanh Chăn</t>
  </si>
  <si>
    <t xml:space="preserve"> - Hệ thống nước thải SH đội 7 thôn Hồng Thanh xã Thanh Chăn</t>
  </si>
  <si>
    <t>Chi đầu tư từ đấu giá đất</t>
  </si>
  <si>
    <t xml:space="preserve"> - Cải tạo nền mặt đường hệ thống thoát nước trục A</t>
  </si>
  <si>
    <t>Tủa chùa</t>
  </si>
  <si>
    <t xml:space="preserve"> - Kè bó vỉa trục C đường nội thị</t>
  </si>
  <si>
    <t>Phụ lục số 6 - Biểu số 53</t>
  </si>
  <si>
    <t xml:space="preserve"> - Cải tạo mặt bằng khu đấu giá số 1</t>
  </si>
  <si>
    <t xml:space="preserve"> - Đường nhánh nội thị</t>
  </si>
  <si>
    <t xml:space="preserve"> - Cại tạo sửa chữa đường nội thị </t>
  </si>
  <si>
    <t xml:space="preserve"> - Kè UBND thị trấn</t>
  </si>
  <si>
    <t>Vốn XDCB tập trung</t>
  </si>
  <si>
    <t xml:space="preserve"> Vốn thực hiện dự án</t>
  </si>
  <si>
    <t>2.1</t>
  </si>
  <si>
    <t xml:space="preserve"> Giao thông</t>
  </si>
  <si>
    <t>Dự án nhóm B</t>
  </si>
  <si>
    <t xml:space="preserve"> - Đường Hừa Ngài - Pa Ham</t>
  </si>
  <si>
    <t>Dự án nhóm C</t>
  </si>
  <si>
    <t xml:space="preserve"> - Đường 27m trung tâm 3 TP Điện Biên Phủ</t>
  </si>
  <si>
    <t xml:space="preserve"> - Cầu Pa Vạt Điện biên đông</t>
  </si>
  <si>
    <t xml:space="preserve"> - Đường Co Luông - U Va</t>
  </si>
  <si>
    <t xml:space="preserve"> - Nâng cấp đường Mường Thín Mường Mùn</t>
  </si>
  <si>
    <t xml:space="preserve"> - Nâng cấp đường Pú Nhung Phình Sáng</t>
  </si>
  <si>
    <t xml:space="preserve"> - Đường, cầu vào trung tâm y tế tủa chùa</t>
  </si>
  <si>
    <t xml:space="preserve"> - Nâng cấp đường Pú Nhung - Phình Sáng(adb-2kr)</t>
  </si>
  <si>
    <t xml:space="preserve"> - Đường đi bản Tả Co Ký xã Sín Thầu </t>
  </si>
  <si>
    <t xml:space="preserve"> - Đường ra biên giới Nà Hỳ - Huổi Sam Lang - mốc 60</t>
  </si>
  <si>
    <t>2014</t>
  </si>
  <si>
    <t xml:space="preserve"> - Đường dạo leo núi khu du lịch Pá khoang</t>
  </si>
  <si>
    <t>TPĐBP</t>
  </si>
  <si>
    <t>2010-2014</t>
  </si>
  <si>
    <t xml:space="preserve"> - Đường Keo Lôm - Tìa Ló</t>
  </si>
  <si>
    <t xml:space="preserve"> - NC đường vào trường TH, trường THCS và CT phụ trợ của trường THCS, trường MN TTCX Mường Nhà </t>
  </si>
  <si>
    <t xml:space="preserve"> - Đường nội bộ TTCX Mường Toong huyện Mường Nhé</t>
  </si>
  <si>
    <t xml:space="preserve"> - Đường vào công trường 06 cũ và nhánh lên khu văn hóa cựu chiến binh thành phố Điện Biên Phủ</t>
  </si>
  <si>
    <t>QĐ 1023</t>
  </si>
  <si>
    <t xml:space="preserve"> - Tuyến đường nhánh Hòa Bình</t>
  </si>
  <si>
    <t xml:space="preserve"> - Đường nội thị Nam Thanh</t>
  </si>
  <si>
    <t>2.2</t>
  </si>
  <si>
    <t>Thủy lợi</t>
  </si>
  <si>
    <t xml:space="preserve"> - Thủy lợi Nà Sa, xã Tả Phìn huyện Tủa Chùa</t>
  </si>
  <si>
    <t>T Chùa</t>
  </si>
  <si>
    <t xml:space="preserve"> - Thủy lợi Pá Pan - T.Ngám xã Noong U huyện ĐBĐ</t>
  </si>
  <si>
    <t>ĐBĐ</t>
  </si>
  <si>
    <t>2011-2013</t>
  </si>
  <si>
    <t>20,05ha</t>
  </si>
  <si>
    <t xml:space="preserve"> - Thủy lợi Thẩm Phẩng xã Nậm Lịch hyện M.Ảng</t>
  </si>
  <si>
    <t>M.Ảng</t>
  </si>
  <si>
    <t xml:space="preserve"> - Thủy lợi Nà Sa xã Tả Phìn huyện Tủa Chùa</t>
  </si>
  <si>
    <t xml:space="preserve"> - Thủy lợi Huổi Tao B xã Pú Nhi huyện Điện Biên Đông</t>
  </si>
  <si>
    <t>2012-2014</t>
  </si>
  <si>
    <t>30ha</t>
  </si>
  <si>
    <t xml:space="preserve"> - Thủy lợi suối Na Nhưng, bản Phà Só B</t>
  </si>
  <si>
    <t xml:space="preserve"> - Thủy lợi Né Luông (Co Hịa) xã Ảng Nưa</t>
  </si>
  <si>
    <t>MA</t>
  </si>
  <si>
    <t xml:space="preserve"> - Thủy lợi Chế Nhù xã Si Pa Phìn huyện Mường Chà</t>
  </si>
  <si>
    <t>M.Chà</t>
  </si>
  <si>
    <t>2011-2012</t>
  </si>
  <si>
    <t xml:space="preserve"> - KCH kênh cấp III bản Na Khưa-Na Tí bản Púng Nghịu xã TChăn</t>
  </si>
  <si>
    <t>ĐBiên</t>
  </si>
  <si>
    <t xml:space="preserve"> - KCH kênh cấp III bản Khưa thôn Thanh sơn xã Thanh Chăn</t>
  </si>
  <si>
    <t xml:space="preserve"> - KCH kênh cấp III đội 7 đến hồ sen Na Khưa xã Thanh Chăn</t>
  </si>
  <si>
    <t>2.3</t>
  </si>
  <si>
    <t xml:space="preserve"> Giáo dục - Đào tạo</t>
  </si>
  <si>
    <t xml:space="preserve"> - Trường MN, THCS xã Sín Chải (GĐ I-II)</t>
  </si>
  <si>
    <t>2012-2013</t>
  </si>
  <si>
    <t xml:space="preserve"> - Trường MN, tiểu học xã Chiềng Sinh </t>
  </si>
  <si>
    <t>T.Giáo</t>
  </si>
  <si>
    <t>2010-2012</t>
  </si>
  <si>
    <t>37PH, BGH</t>
  </si>
  <si>
    <t xml:space="preserve"> - Nhà trẻ mẫu giáo Tân Thanh</t>
  </si>
  <si>
    <t xml:space="preserve"> - Nhà làm việc - hội trường trường CĐKTKT </t>
  </si>
  <si>
    <t xml:space="preserve"> - Hạng mục phụ trợ trường cao đẳng KTKT </t>
  </si>
  <si>
    <t>2011-2014</t>
  </si>
  <si>
    <t xml:space="preserve"> - Trại thí nghiệm thực hành Trường Cao đẳng Kinh tế - Kỹ thuật ĐB</t>
  </si>
  <si>
    <t xml:space="preserve"> - Cải tạo, SC thư viện, thí nghiệm, giảng đường trường CĐSP ĐB</t>
  </si>
  <si>
    <t xml:space="preserve"> - Nhà làm việc Ban GH Trường Chính trị tỉnh</t>
  </si>
  <si>
    <t>2012</t>
  </si>
  <si>
    <t>531,4m2</t>
  </si>
  <si>
    <t xml:space="preserve"> - Nhà bếp, nhà ăn trường Chính trị tỉnh</t>
  </si>
  <si>
    <t xml:space="preserve"> - SC, nâng cấp các hạng mục nhà ở học viên 96 chỗ và các hạng mục nhà thư viện + lớp học trường Chính trị </t>
  </si>
  <si>
    <t>Tỉnh</t>
  </si>
  <si>
    <t xml:space="preserve"> - Trường TH Ban Mai xã Chiềng Sinh huyện Tuần Giáo</t>
  </si>
  <si>
    <t xml:space="preserve"> - Trường THCS TTCX Phình Sáng, xã Phình Sáng - Tuần Giáo</t>
  </si>
  <si>
    <t xml:space="preserve"> - Trường THPT Mường Ảng</t>
  </si>
  <si>
    <t>MẢng</t>
  </si>
  <si>
    <t xml:space="preserve"> - Trường THPT Chà Cang</t>
  </si>
  <si>
    <t xml:space="preserve"> - Trường MN số 2 Mường Nhà</t>
  </si>
  <si>
    <t xml:space="preserve"> - Nhà nội trú, nhà hiệu bộ trường THCS TTCX Mường Toong </t>
  </si>
  <si>
    <t xml:space="preserve"> - Trường THCS Pú Hồng huyện Điện Biên Đông</t>
  </si>
  <si>
    <t xml:space="preserve"> - Dự án giáo dục THCS vùng khó khăn nhất tỉnh Điện Biên năm 2013</t>
  </si>
  <si>
    <t xml:space="preserve"> - Nhà vệ sinh các điểm trường thuộc Sở GD và Đào tạo</t>
  </si>
  <si>
    <t>Toàn tỉnh</t>
  </si>
  <si>
    <t xml:space="preserve"> - Nhà ở nội trú dân nuôi trường THPT Mùn Chung </t>
  </si>
  <si>
    <t xml:space="preserve"> - Trường trung học phổ thông Mùn Chung</t>
  </si>
  <si>
    <t xml:space="preserve"> - Các điểm trường trung tâm, Nậm Ngà 1xã Nậm Chua</t>
  </si>
  <si>
    <t>MNhé</t>
  </si>
  <si>
    <t xml:space="preserve"> - Các điểm trường Phiêng Ngúa, Huổi Sang, Huổi Cơ Dạo, Lai Khoang, Nậm Ngà thuộc các trường mầm non Nà Hỳ</t>
  </si>
  <si>
    <t xml:space="preserve"> - Nhà nội trú trường THCS TTCX Nà Hỳ </t>
  </si>
  <si>
    <t xml:space="preserve"> - Nhà Ban giám hiệu và các phòng học trường THPT Tuần Giáo</t>
  </si>
  <si>
    <t xml:space="preserve"> - Nhà vệ sinh trường PTDTNT và các Trường MN, TH, THCS  </t>
  </si>
  <si>
    <t xml:space="preserve"> - Nhà ở nội trú dân nuôi trường THPT Mùn Chung</t>
  </si>
  <si>
    <t>T Giáo</t>
  </si>
  <si>
    <t xml:space="preserve"> - Nhà ở nội trú dân nuôi các điểm trường THCS Chung Chải, THCS Chà Cang, THCS Na Cô Sa </t>
  </si>
  <si>
    <t xml:space="preserve"> M Nhé</t>
  </si>
  <si>
    <t xml:space="preserve"> - Nhà ở nội trú dân nuôi các điểm trường TH Nậm Pồ, TH Nà Khoa 1 và trường THCS Pá Mỳ </t>
  </si>
  <si>
    <t xml:space="preserve"> -Trại thực tập khuyến nông, khuyến lâm trường phổ thông DTNT</t>
  </si>
  <si>
    <t xml:space="preserve"> - Nhà lớp học Nà Bủng 1, xã Nà Bủng</t>
  </si>
  <si>
    <t xml:space="preserve"> - Nhà công vụ các điểm trường: TH Mường Nhé số 2; THCS Quảng Lâm; TH Nậm kè 1 và 2 </t>
  </si>
  <si>
    <t xml:space="preserve"> - Trường Mầm non thị trấn Tuần Giáo</t>
  </si>
  <si>
    <t xml:space="preserve"> - Trường Mầm Non Hoa ban TP ĐBP</t>
  </si>
  <si>
    <t xml:space="preserve"> - Xây dựng trường mầm non Tân Thanh</t>
  </si>
  <si>
    <t>2.4</t>
  </si>
  <si>
    <t xml:space="preserve"> Văn hoá - Phát thanh - TH -TDTT</t>
  </si>
  <si>
    <t xml:space="preserve"> - Trung tâm hội nghị văn hóa tỉnh Điện Biên</t>
  </si>
  <si>
    <t>2002</t>
  </si>
  <si>
    <t xml:space="preserve"> - Trung tâm TDTT tỉnh (Giai đoạn I)</t>
  </si>
  <si>
    <t>QĐ 696</t>
  </si>
  <si>
    <t xml:space="preserve"> - Cải tạo, SC trụ sở làm việc Đoàn Nghệ thuật </t>
  </si>
  <si>
    <t xml:space="preserve"> - Nâng cấp bổ sung một số hạng mục Trung tâm văn hóa Hội cựu chiến binh tại Đồi E</t>
  </si>
  <si>
    <t xml:space="preserve"> - Chỉnh trang, tôn tạo một số hạng mục Tượng đài chiến thắng lịch sử Điện Biên Phủ</t>
  </si>
  <si>
    <t xml:space="preserve">UBND TỈNH ĐIỆN BIÊN </t>
  </si>
  <si>
    <t>Phụ lục số 6 - Biểu số 39</t>
  </si>
  <si>
    <t>QUYẾT TOÁN  THU NGÂN SÁCH THEO SẮC THUẾ NĂM 2015</t>
  </si>
  <si>
    <t xml:space="preserve">   </t>
  </si>
  <si>
    <t xml:space="preserve">              Đơn vị: Triệu đồng</t>
  </si>
  <si>
    <t xml:space="preserve">Tổng số </t>
  </si>
  <si>
    <t>Khu vực DNNN</t>
  </si>
  <si>
    <t>Khu vực ĐTNN</t>
  </si>
  <si>
    <t>Khu vực CTNNQD</t>
  </si>
  <si>
    <t xml:space="preserve">Các khoản thu khác </t>
  </si>
  <si>
    <t xml:space="preserve"> A, Thu ngân sách trên địa bàn </t>
  </si>
  <si>
    <t xml:space="preserve"> I. Các khoản thu từ thuế </t>
  </si>
  <si>
    <t xml:space="preserve"> 1.Thuế GTGT </t>
  </si>
  <si>
    <t xml:space="preserve"> a. Thuế GTGT hàng sản xuất trong nước</t>
  </si>
  <si>
    <t xml:space="preserve"> b. Thuế GTGT hàng nhập khẩu </t>
  </si>
  <si>
    <t xml:space="preserve"> 2. Thuế  TTĐB hàng sản xuất trong nước </t>
  </si>
  <si>
    <t xml:space="preserve"> 3. Thuế XNK, TTĐB hàng nhập khẩu </t>
  </si>
  <si>
    <t xml:space="preserve"> 4. Thuế thu nhập doanh nghiệp </t>
  </si>
  <si>
    <t xml:space="preserve"> 5. Thuế tài nguyên </t>
  </si>
  <si>
    <t xml:space="preserve"> 6. Thuế môn bài </t>
  </si>
  <si>
    <t xml:space="preserve"> 7. Hoàn vốn thu khác </t>
  </si>
  <si>
    <t>Trong đó: Ngân sách TW</t>
  </si>
  <si>
    <t xml:space="preserve"> 8. Thuế thu nhập cá nhân</t>
  </si>
  <si>
    <t xml:space="preserve"> 9. Thuế nhà đất </t>
  </si>
  <si>
    <t xml:space="preserve"> 10. Thuế bảo vệ môi trường</t>
  </si>
  <si>
    <t>11. Thuế sử dụng đất phi nông nghiệp</t>
  </si>
  <si>
    <t>12. Thu tiền sử dụng đất</t>
  </si>
  <si>
    <t>II. Các khoản phí lệ phí</t>
  </si>
  <si>
    <t xml:space="preserve"> 1. Lệ phí trước bạ </t>
  </si>
  <si>
    <t xml:space="preserve"> 2. Các loại phí, lệ phí </t>
  </si>
  <si>
    <t>Trong đó: Phí và lệ phí TW</t>
  </si>
  <si>
    <t xml:space="preserve">III. Các khoản thu khác còn lại </t>
  </si>
  <si>
    <t xml:space="preserve">1. Thu tiền thuê đất, mặt đất mặt nước </t>
  </si>
  <si>
    <t>2. Thu bán nhà và thuê nhà ở thuộc SHNN</t>
  </si>
  <si>
    <t>3. Thu phạt an toàn giao thông</t>
  </si>
  <si>
    <t xml:space="preserve"> - Ngân sách TW</t>
  </si>
  <si>
    <t xml:space="preserve"> - Ngân sách tỉnh</t>
  </si>
  <si>
    <t>4. Thu tiền phạt, tịch thu</t>
  </si>
  <si>
    <t xml:space="preserve"> Trong đó: Thu của các đơn vị TW</t>
  </si>
  <si>
    <t>5. Thu tiền bán tài sản, thanh lý nhà làm việc</t>
  </si>
  <si>
    <t>6. Thu hồi khoản chi năm trước</t>
  </si>
  <si>
    <t xml:space="preserve">7. Thu hồi của NN tại các tổ chức kinh tế </t>
  </si>
  <si>
    <t>9. Thu tiền cho thuê quầy bán hàng</t>
  </si>
  <si>
    <t>10. Thu tiền cấp quyền khai thác khoáng sản</t>
  </si>
  <si>
    <t>11. Thu học phí</t>
  </si>
  <si>
    <t>12. Thu tiền bán hàng hóa vật tư dự trữ</t>
  </si>
  <si>
    <t>13. Các khoản huy động góp vốn XDCSHT</t>
  </si>
  <si>
    <t>14. Các khoản huy động khác</t>
  </si>
  <si>
    <t>15.Thu khác ngân sách</t>
  </si>
  <si>
    <t xml:space="preserve">16. Thu tại xã </t>
  </si>
  <si>
    <t>B. Thu viện trợ</t>
  </si>
  <si>
    <t>C. Thu chuyển nguồn</t>
  </si>
  <si>
    <t xml:space="preserve">D . Thu kết dư ngân sách </t>
  </si>
  <si>
    <t>E. Thu huy động ĐT theo K3Đ8 Luật NSNN</t>
  </si>
  <si>
    <t xml:space="preserve">F. Thu NS cấp dưới nộp lên </t>
  </si>
  <si>
    <t xml:space="preserve"> -   Thu NS TW</t>
  </si>
  <si>
    <t xml:space="preserve">G. Thu NSĐP được hưởng theo phân cấp </t>
  </si>
  <si>
    <t>Phụ lục số 6 - Biểu số 45</t>
  </si>
  <si>
    <t>Phụ lục số 6 - Biểu số 47</t>
  </si>
  <si>
    <t xml:space="preserve"> - Chỉnh trang, tôn tạo di tích Khu sở chỉ huy chiến dịch Mường Phăng</t>
  </si>
  <si>
    <t>HĐB</t>
  </si>
  <si>
    <t xml:space="preserve"> - Chỉnh trang, tôn tạo một số hạng mục thuộc di tích Đường kéo pháo, trận địa pháo 105, trận địa pháo H6</t>
  </si>
  <si>
    <t xml:space="preserve"> - Xây dựng Sa Bàn diễn biến chiến dịch ĐBP</t>
  </si>
  <si>
    <t xml:space="preserve"> - Cải tạo, nâng cấp bổ sung một số hạng mục công trình sân vận động </t>
  </si>
  <si>
    <t>2013-2014</t>
  </si>
  <si>
    <t xml:space="preserve"> - Đài truyền thanh - truyền hình </t>
  </si>
  <si>
    <t>1kw, 75m</t>
  </si>
  <si>
    <t xml:space="preserve"> - Cải tạo nâng cấp bảo tàng chiến thắng  GĐ1</t>
  </si>
  <si>
    <t xml:space="preserve"> - Tượng đài chiến thắng Điện Biên Phủ (GĐ I)</t>
  </si>
  <si>
    <t>2.5</t>
  </si>
  <si>
    <t xml:space="preserve"> Khoa học công nghệ</t>
  </si>
  <si>
    <t xml:space="preserve"> - Hạ tầng công nghệ thông tin các sở, ngành</t>
  </si>
  <si>
    <t xml:space="preserve"> - Đầu tư thiết bị nâng cao năng lực Chi cục tiêu chuẩn đo lường chất lượng</t>
  </si>
  <si>
    <t xml:space="preserve"> - Cải tạo, nâng cấp hệ thống xử lý chất thải bệnh viện Y học cổ truyền tỉnh  </t>
  </si>
  <si>
    <t>2011</t>
  </si>
  <si>
    <t xml:space="preserve"> - Cải tạo, NC hệ thống xử lý chất thải BVĐK tỉnh</t>
  </si>
  <si>
    <t xml:space="preserve"> - Nâng cao năng lực Trung tâm thông tin và Ứng dụng tiến bộ khoa học công nghệ </t>
  </si>
  <si>
    <t xml:space="preserve"> - Sửa chữa nhà làm việc 3 tầng Sở KH và CN </t>
  </si>
  <si>
    <t xml:space="preserve"> - Lò đốt rác bằng khí tự nhiên xử lý rác thải sinh hoạt trên địa bàn thị trấn và các xã lân cận</t>
  </si>
  <si>
    <t xml:space="preserve"> - Bãi xử lý rác thải trung tâm huyện lỵ và các xã vùng lân cận</t>
  </si>
  <si>
    <t xml:space="preserve"> - Bãi xử lý rác thải thị trấn Điện Biên Đông</t>
  </si>
  <si>
    <t>2.6</t>
  </si>
  <si>
    <t xml:space="preserve"> Quản lý hành chính</t>
  </si>
  <si>
    <t xml:space="preserve"> - Khu trụ sở làm việc tạm của cấp ủy, chính quyền, MTTQ và đoàn thể huyện Nậm Pồ</t>
  </si>
  <si>
    <t>2013-2015</t>
  </si>
  <si>
    <t xml:space="preserve"> - Sửa chữa trụ sở các Ban Đảng tỉnh</t>
  </si>
  <si>
    <t xml:space="preserve"> - Trụ sở Ban Nội chính Tỉnh ủy</t>
  </si>
  <si>
    <t>2013</t>
  </si>
  <si>
    <t xml:space="preserve"> - Sửa chữa nâng cấp trụ sở Sở Nội vụ</t>
  </si>
  <si>
    <t>65Ng</t>
  </si>
  <si>
    <t xml:space="preserve"> - Sửa chữa trụ sở Hội chữ thập đỏ</t>
  </si>
  <si>
    <t xml:space="preserve"> - Cải tạo, sữa chữa trụ sở Tỉnh ủy</t>
  </si>
  <si>
    <t xml:space="preserve"> - Trụ sở xã Thanh Minh</t>
  </si>
  <si>
    <t xml:space="preserve"> - Trụ sở xã Quài Tở</t>
  </si>
  <si>
    <t xml:space="preserve"> - Trụ sở xã Búng Lao</t>
  </si>
  <si>
    <t xml:space="preserve"> - Trụ sở xã Ẳng Nưa</t>
  </si>
  <si>
    <t xml:space="preserve"> - Trụ sở khối đoàn thể huyện Mường Chà</t>
  </si>
  <si>
    <t xml:space="preserve"> - Trụ sở HĐND-UBND huyện Tuần Giáo</t>
  </si>
  <si>
    <t>80 người</t>
  </si>
  <si>
    <t xml:space="preserve"> - Trụ sở khuyến nông+BVTV+Ban QLDA rừng PH T.Giáo</t>
  </si>
  <si>
    <t>20 người</t>
  </si>
  <si>
    <t xml:space="preserve"> - Mở rộng trụ sở UBND huyện Tủa Chùa</t>
  </si>
  <si>
    <t xml:space="preserve"> - Trụ sở liên cơ trạm thú y, trạm khuyến nông - khuyến ngư, trạm bảo vệ thực vật, ban quản lý rừng phòng hộ</t>
  </si>
  <si>
    <t>2010-2011</t>
  </si>
  <si>
    <t xml:space="preserve"> - Xây dựng CSHT công nghệ thông tin tỉnh Điện Biên</t>
  </si>
  <si>
    <t xml:space="preserve"> - NC Trung tâm tích hợp dữ liệu tỉnh Điện Biên </t>
  </si>
  <si>
    <t xml:space="preserve"> - Sửa chữa trụ sở làm việc Sở Tư pháp</t>
  </si>
  <si>
    <t xml:space="preserve"> - Trụ sở xã Mùn Chung</t>
  </si>
  <si>
    <t xml:space="preserve"> - Trụ sở xã Pú Hồng </t>
  </si>
  <si>
    <t>2.7</t>
  </si>
  <si>
    <t xml:space="preserve"> Hạ tầng đô thị - Phục vụ công cộng- khác</t>
  </si>
  <si>
    <t xml:space="preserve"> - DA cấp điện nông thôn giai đoạn 2013- 2015 </t>
  </si>
  <si>
    <t>2015-2020</t>
  </si>
  <si>
    <t xml:space="preserve"> - Đập, kè công viên ven sông Nậm Rốm</t>
  </si>
  <si>
    <t>TP ĐBP</t>
  </si>
  <si>
    <t>2003-2009</t>
  </si>
  <si>
    <t xml:space="preserve"> - Nhà khách huyện Điện Biên</t>
  </si>
  <si>
    <t xml:space="preserve"> - Hệ thống đường ống dẫn nước cấp cho khu vực Bản Phủ</t>
  </si>
  <si>
    <t xml:space="preserve"> - Hệ thống lắng lọc sơ bộ nước thô khu vực đầu nguồn Nậm Khẩu Hu thuộc nhà máy nước ĐBP</t>
  </si>
  <si>
    <t xml:space="preserve"> - SC, mở rộng nhà khách Tỉnh ủy Điện Biên</t>
  </si>
  <si>
    <t>ĐB</t>
  </si>
  <si>
    <t xml:space="preserve"> - Cải tạo, NC nhà khách HĐND-UBND tỉnh</t>
  </si>
  <si>
    <t xml:space="preserve"> - Mạng cấp nước cấp II huyện Điện Biên</t>
  </si>
  <si>
    <t xml:space="preserve"> - Nghĩa trang C1</t>
  </si>
  <si>
    <t xml:space="preserve"> - Chợ thị trấn Mường Nhé</t>
  </si>
  <si>
    <t xml:space="preserve"> - Kè bảo vệ khu dân cư Tin Tốc, xã Mường Tùng</t>
  </si>
  <si>
    <t>1,745km</t>
  </si>
  <si>
    <t xml:space="preserve"> - Dự án năng lượng nông thôn II mở rộng tỉnh Điện Biên giai đoạn 2 - phần hạ áp bổ sung</t>
  </si>
  <si>
    <t>MN,MC,MA</t>
  </si>
  <si>
    <t>44,846km</t>
  </si>
  <si>
    <t xml:space="preserve"> - Cấp nước sinh hoạt trung tâm huyện lỵ huyện Mường Nhé (GĐI)</t>
  </si>
  <si>
    <t xml:space="preserve"> - Xây dựng hạ tầng làng nghề bản Him Lam II - thành phố Điện Biên Phủ</t>
  </si>
  <si>
    <t xml:space="preserve"> - Hệ thống cấp điện bản Huổi Hua xã Núa Ngam huyện Điện Biên</t>
  </si>
  <si>
    <t xml:space="preserve"> - San ủi mặt bằng khu dân cư trung tâm huyện Mường Nhé</t>
  </si>
  <si>
    <t xml:space="preserve"> - Hệ thống cấp nước sinh hoạt cho các hộ dân bị ảnh hưởng của bãi rác Noong Bua, tp ĐBP</t>
  </si>
  <si>
    <t xml:space="preserve"> - GPMB DA ĐTXD điểm dân cư bản mới Na ố M nhà ĐB</t>
  </si>
  <si>
    <t xml:space="preserve"> - Đề bù GPMB khu trung tâm hành chính huyện </t>
  </si>
  <si>
    <t xml:space="preserve"> - Đền bù GPMTXD DA NLNT - GĐI  xã pa ham</t>
  </si>
  <si>
    <t xml:space="preserve">Mường Chà </t>
  </si>
  <si>
    <t xml:space="preserve"> - Đền bù GPMTXD DA NLNT - GĐI xã Mường Tùng</t>
  </si>
  <si>
    <t xml:space="preserve"> - Đề án sắp xếp ổn định dân di cư tự do</t>
  </si>
  <si>
    <t xml:space="preserve"> - Đền bù GPMB cụm CN A Hai</t>
  </si>
  <si>
    <t xml:space="preserve"> - DA NLNT-gđ II huyện Tủa Chùa (gpmb) xã Tủa Thàng, Trung Thu, tp, lsp, huổi só</t>
  </si>
  <si>
    <t xml:space="preserve"> - Cấp nước thị trấn điện biên đông</t>
  </si>
  <si>
    <t xml:space="preserve"> - Hệ thống cấp điện bản Huổi Un xã Mường Pồn, </t>
  </si>
  <si>
    <t xml:space="preserve"> -XD chợ TT xã Thanh Chăn</t>
  </si>
  <si>
    <t>2.8</t>
  </si>
  <si>
    <t xml:space="preserve"> Quốc phòng an ninh</t>
  </si>
  <si>
    <t xml:space="preserve"> - HT đầu tư công trình AD 05</t>
  </si>
  <si>
    <t>2006-2010</t>
  </si>
  <si>
    <t xml:space="preserve"> - SC trụ sở Bộ chỉ huy quân sự tỉnh (GĐII)</t>
  </si>
  <si>
    <t xml:space="preserve"> - HT Ban chỉ huy quân sự thành phố Điện Biên</t>
  </si>
  <si>
    <t xml:space="preserve"> - Hội trường TT huấn luyện quân dự bị động viên</t>
  </si>
  <si>
    <t xml:space="preserve"> - Cải tạo, SC, NC cơ quan ban chỉ huy quân sự huyện Điện Biên Đông </t>
  </si>
  <si>
    <t>2.9</t>
  </si>
  <si>
    <t xml:space="preserve"> Vốn đối ứng </t>
  </si>
  <si>
    <t>Chương trình ADB</t>
  </si>
  <si>
    <t xml:space="preserve"> - Nâng cấp đường Mường Thín - Mường Mùn</t>
  </si>
  <si>
    <t>TG</t>
  </si>
  <si>
    <t>2012-2015</t>
  </si>
  <si>
    <t>15,667km</t>
  </si>
  <si>
    <t>QĐ 318</t>
  </si>
  <si>
    <t xml:space="preserve"> - Nâng cấp đường Pú Nhung - Phình Sáng</t>
  </si>
  <si>
    <t>2012-2016</t>
  </si>
  <si>
    <t>14,5km</t>
  </si>
  <si>
    <t>Dự án ODA giáo dục</t>
  </si>
  <si>
    <t xml:space="preserve"> - Trường tiểu học HERMANN và trường mẫu giáo SOS Điện Biên Phủ</t>
  </si>
  <si>
    <t>Chương trình phát triển vùng, tổ chức tầm nhìn Thế giới</t>
  </si>
  <si>
    <t>Huyện Điện Biên Đông</t>
  </si>
  <si>
    <t xml:space="preserve"> - Nhà lớp học MN bản Thẩm Mỹ  xã Xa Dung</t>
  </si>
  <si>
    <t xml:space="preserve"> - Nhà lớp học MN bản Pá Khoang, xã Luân Giói</t>
  </si>
  <si>
    <t xml:space="preserve"> - Nhà lớp học MN bản Che Phai, xã Luân Giói</t>
  </si>
  <si>
    <t xml:space="preserve"> - Nhà lớp học MN bản Huổi Dụa, xã Phình Giàng</t>
  </si>
  <si>
    <t>Huyện Mường Chà</t>
  </si>
  <si>
    <t xml:space="preserve"> - Trường MN Hừa Ngài, xã Hừa Ngài</t>
  </si>
  <si>
    <t>MChà</t>
  </si>
  <si>
    <t>Chương trình WB</t>
  </si>
  <si>
    <t xml:space="preserve"> - Chương trình đô thị miền núi phía Bắc</t>
  </si>
  <si>
    <t>TP. ĐBP</t>
  </si>
  <si>
    <t xml:space="preserve"> - Tiểu dự án hỗ trợ kỹ thuật sử dụng vốn PPTAF Chương trình đô thị miền núi phía Bắc </t>
  </si>
  <si>
    <t>QĐ 996+1023</t>
  </si>
  <si>
    <t>2 dự án</t>
  </si>
  <si>
    <t>Dự án bạn hữu trẻ em</t>
  </si>
  <si>
    <t>2012 - 2016</t>
  </si>
  <si>
    <t>Chương trình JICA</t>
  </si>
  <si>
    <t xml:space="preserve"> - Chi phí Ban QLDA JICA tỉnh</t>
  </si>
  <si>
    <t>2010 - 2015</t>
  </si>
  <si>
    <t xml:space="preserve"> - Đường Rạng Đông -Ta Ma</t>
  </si>
  <si>
    <t>12,95km</t>
  </si>
  <si>
    <t>Các dự án giảm nghèo</t>
  </si>
  <si>
    <t xml:space="preserve"> -  Ban QL DAGN (Phụ cấp kiêm nhiệm của Ban phát triển xã)</t>
  </si>
  <si>
    <t>M Chà</t>
  </si>
  <si>
    <t>Chi đầu tư từ nguồn vốn vay</t>
  </si>
  <si>
    <t>Chương trình vốn tín dụng ưu dãi</t>
  </si>
  <si>
    <t>2014 - 2016</t>
  </si>
  <si>
    <t>QĐ 412+1215</t>
  </si>
  <si>
    <t xml:space="preserve"> - Đường Chà Tở - Nậm Khăn</t>
  </si>
  <si>
    <t>2009-2013</t>
  </si>
  <si>
    <t xml:space="preserve"> - Kênh Phai Sáng xã Ảng Cang huyện Mường Ảng</t>
  </si>
  <si>
    <t xml:space="preserve"> - Đường Thanh Bình - Hua Pe, xã Thanh Luông</t>
  </si>
  <si>
    <t xml:space="preserve"> - Đường Km 45 (đường Na Pheo - Si Pha Phìn - Mường Nhé) - Nà Hỳ</t>
  </si>
  <si>
    <t>M Nhé</t>
  </si>
  <si>
    <t>Vốn tạm ứng KBNN</t>
  </si>
  <si>
    <t xml:space="preserve"> - Bảo tàng chiến thắng Điện Biên Phủ GĐII</t>
  </si>
  <si>
    <t>III</t>
  </si>
  <si>
    <t>Vốn HT đầu tư phát triển KT-XH các vùng</t>
  </si>
  <si>
    <t xml:space="preserve"> - Đường nội thị thị trấn huyện Tuần Giáo</t>
  </si>
  <si>
    <t xml:space="preserve"> - Đường Tuần Giáo - Tênh phông</t>
  </si>
  <si>
    <t xml:space="preserve"> - Đường Rạng Đông Ta Ma</t>
  </si>
  <si>
    <t xml:space="preserve"> - Đường nội thị gđ 1 (Đoạn QL279- TTHC )</t>
  </si>
  <si>
    <t>M Ảng</t>
  </si>
  <si>
    <t xml:space="preserve"> - Đường nội thị giai đoạn I trục 42m </t>
  </si>
  <si>
    <t xml:space="preserve"> M Ảng</t>
  </si>
  <si>
    <t xml:space="preserve"> - Đường Sư Lư - Chiềng Sơ - Mường Luân - Luân Giói</t>
  </si>
  <si>
    <t>2008-2011</t>
  </si>
  <si>
    <t>47km</t>
  </si>
  <si>
    <t>TB 03</t>
  </si>
  <si>
    <t xml:space="preserve"> - Đường Nậm Kè - Pá Mỳ</t>
  </si>
  <si>
    <t>2009-2014</t>
  </si>
  <si>
    <t>22 km</t>
  </si>
  <si>
    <t xml:space="preserve"> - Đường Tuần Giáo - Tênh Phông</t>
  </si>
  <si>
    <t>2011-2016</t>
  </si>
  <si>
    <t>17,56km</t>
  </si>
  <si>
    <t xml:space="preserve"> - Đường bản Xôm - bản Mới - Mốc C5 </t>
  </si>
  <si>
    <t xml:space="preserve"> Điện Biên</t>
  </si>
  <si>
    <t>TB 47</t>
  </si>
  <si>
    <t xml:space="preserve"> - Đường vào khu du lịch Hồ Huổi Phạ</t>
  </si>
  <si>
    <t>2009-2012</t>
  </si>
  <si>
    <t>1050m</t>
  </si>
  <si>
    <t xml:space="preserve"> - Đường nội thị phường Nam Thanh, TPĐBP </t>
  </si>
  <si>
    <t xml:space="preserve"> - Đường nội thị thị trấn Tuần giáo</t>
  </si>
  <si>
    <t>2.865 m</t>
  </si>
  <si>
    <t xml:space="preserve"> - Đường QL 6 - Quang Vinh - Pú Nhung </t>
  </si>
  <si>
    <t>3,45 km</t>
  </si>
  <si>
    <t xml:space="preserve"> - Kè bảo vệ khu dân cư Yên Cang xã Sam Mứn </t>
  </si>
  <si>
    <t>2009-2011</t>
  </si>
  <si>
    <t>1640m</t>
  </si>
  <si>
    <t xml:space="preserve"> - Kè chống sạt lở đất, bảo vệ trường tiểu học HERMANN GMEINER và trường mẫu giáo SOS</t>
  </si>
  <si>
    <t xml:space="preserve"> - Thủy lợi Xuân Lao - Mường Ẳng</t>
  </si>
  <si>
    <t>M. Ẳng</t>
  </si>
  <si>
    <t>219,5 ha</t>
  </si>
  <si>
    <t xml:space="preserve"> - Trung tâm thể dục thể thao tỉnh</t>
  </si>
  <si>
    <t xml:space="preserve"> - XD cơ sở hạ tầng Công viên ven sông Nậm Rốm</t>
  </si>
  <si>
    <t xml:space="preserve"> - Cải tạo, SC nâng cấp sân vận động tỉnh Điện Biên</t>
  </si>
  <si>
    <t>Vốn hỗ trợ huyện mới chia tách</t>
  </si>
  <si>
    <t xml:space="preserve"> - Đền bù GPMB cvà TĐC dự án khu TT huyện Điện Biên</t>
  </si>
  <si>
    <t xml:space="preserve"> - Đường nội thị GĐI đoạn QL279-TT hành chính huyện</t>
  </si>
  <si>
    <t>2km</t>
  </si>
  <si>
    <t xml:space="preserve"> - Đường nội thị GĐI trục 42m huyện Mường Ảng</t>
  </si>
  <si>
    <t>2015-2017</t>
  </si>
  <si>
    <t xml:space="preserve"> - Trụ sở HĐND-UBND huyện M.Ẳng</t>
  </si>
  <si>
    <t>180 người</t>
  </si>
  <si>
    <t xml:space="preserve"> - Khu trụ sở làm việc tạm phục vụ cho hoạt động của cấp ủy, chính quyền, MTTQ và các đoàn thể huyện Nậm Pồ</t>
  </si>
  <si>
    <t>6,6 ha</t>
  </si>
  <si>
    <t>Chương trình hỗ trợ bảo vệ và phát triển rừng bền vững</t>
  </si>
  <si>
    <t>TB 03 + QĐ 304, 121</t>
  </si>
  <si>
    <t xml:space="preserve"> - Huyện Mường Ảng</t>
  </si>
  <si>
    <t xml:space="preserve"> - Huyện Tủa Chùa</t>
  </si>
  <si>
    <t xml:space="preserve"> - Huyện Mường Chà</t>
  </si>
  <si>
    <t xml:space="preserve"> - DA bảo vệ và phát triển rừng GĐ 2012-2020  (Sở NN)</t>
  </si>
  <si>
    <t xml:space="preserve"> TGiáo</t>
  </si>
  <si>
    <t xml:space="preserve"> - DA bảo vệ và phát triển rừng GĐ 2012-2020   (Sở NN)</t>
  </si>
  <si>
    <t xml:space="preserve"> - Dự án trồng cây phân tán</t>
  </si>
  <si>
    <t xml:space="preserve"> - Chi phí quản lý</t>
  </si>
  <si>
    <t>Đầu tư hạ tầng du lịch</t>
  </si>
  <si>
    <t>Khởi công mới</t>
  </si>
  <si>
    <t xml:space="preserve"> - Đường vào khu du lịch, tưởng niệm tri ân những người có công với đất nước, với dân tộc tỉnh Điện Biên</t>
  </si>
  <si>
    <t xml:space="preserve"> Đầu tư hạ tầng quản lý, bảo vệ biên giới đất liền</t>
  </si>
  <si>
    <t xml:space="preserve">  - Đường ra biên giới tuyến Nà Bủng - Mốc 49</t>
  </si>
  <si>
    <t xml:space="preserve"> - Đường liên xã biên giới phía tây lòng chảo Điện Biên</t>
  </si>
  <si>
    <t>Phụ lục số 6 - Biểu số 35</t>
  </si>
  <si>
    <t xml:space="preserve"> QUYẾT TOÁN NGÂN SÁCH ĐỊA PHƯƠNG NĂM 2015</t>
  </si>
  <si>
    <t>So sánh DT/QT</t>
  </si>
  <si>
    <t>TW giao</t>
  </si>
  <si>
    <t>HĐND QĐ</t>
  </si>
  <si>
    <t>QT/DT TW giao</t>
  </si>
  <si>
    <t>QT/DT HĐND giao</t>
  </si>
  <si>
    <t>Tổng thu NSNN trên địa bàn</t>
  </si>
  <si>
    <t>Thu nội địa (không kể dầu thô)</t>
  </si>
  <si>
    <t>Thu từ xuất nhập khẩu</t>
  </si>
  <si>
    <t>Thu viện trợ không hoàn lại</t>
  </si>
  <si>
    <t>Thu ngân sách địa phương</t>
  </si>
</sst>
</file>

<file path=xl/styles.xml><?xml version="1.0" encoding="utf-8"?>
<styleSheet xmlns="http://schemas.openxmlformats.org/spreadsheetml/2006/main">
  <numFmts count="6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Red]#,##0"/>
    <numFmt numFmtId="173" formatCode="#,##0.0"/>
    <numFmt numFmtId="174" formatCode="#,##0.000"/>
    <numFmt numFmtId="175" formatCode="#,##0.0000"/>
    <numFmt numFmtId="176" formatCode="#,##0.00000"/>
    <numFmt numFmtId="177" formatCode="#,##0.000000"/>
    <numFmt numFmtId="178" formatCode="#,##0.0000000"/>
    <numFmt numFmtId="179" formatCode="#,##0.00000000"/>
    <numFmt numFmtId="180" formatCode="0.0"/>
    <numFmt numFmtId="181" formatCode="0.000"/>
    <numFmt numFmtId="182" formatCode="0.0000"/>
    <numFmt numFmtId="183" formatCode="#,##0.00;[Red]#,##0.00"/>
    <numFmt numFmtId="184" formatCode="#,##0.0;[Red]#,##0.0"/>
    <numFmt numFmtId="185" formatCode="#,##0.000000000"/>
    <numFmt numFmtId="186" formatCode="#,##0.0000000000"/>
    <numFmt numFmtId="187" formatCode="#,##0.000000;[Red]#,##0.000000"/>
    <numFmt numFmtId="188" formatCode="0.0%"/>
    <numFmt numFmtId="189" formatCode="0.000000"/>
    <numFmt numFmtId="190" formatCode="0.000000%"/>
    <numFmt numFmtId="191" formatCode="#,##0\ &quot;₫&quot;;\-#,##0\ &quot;₫&quot;"/>
    <numFmt numFmtId="192" formatCode="#,##0\ &quot;₫&quot;;[Red]\-#,##0\ &quot;₫&quot;"/>
    <numFmt numFmtId="193" formatCode="#,##0.00\ &quot;₫&quot;;\-#,##0.00\ &quot;₫&quot;"/>
    <numFmt numFmtId="194" formatCode="#,##0.00\ &quot;₫&quot;;[Red]\-#,##0.00\ &quot;₫&quot;"/>
    <numFmt numFmtId="195" formatCode="_-* #,##0\ &quot;₫&quot;_-;\-* #,##0\ &quot;₫&quot;_-;_-* &quot;-&quot;\ &quot;₫&quot;_-;_-@_-"/>
    <numFmt numFmtId="196" formatCode="_-* #,##0\ _₫_-;\-* #,##0\ _₫_-;_-* &quot;-&quot;\ _₫_-;_-@_-"/>
    <numFmt numFmtId="197" formatCode="_-* #,##0.00\ &quot;₫&quot;_-;\-* #,##0.00\ &quot;₫&quot;_-;_-* &quot;-&quot;??\ &quot;₫&quot;_-;_-@_-"/>
    <numFmt numFmtId="198" formatCode="_-* #,##0.00\ _₫_-;\-* #,##0.00\ _₫_-;_-* &quot;-&quot;??\ _₫_-;_-@_-"/>
    <numFmt numFmtId="199" formatCode="_(* #,##0_);_(* \(#,##0\);_(* &quot;-&quot;??_);_(@_)"/>
    <numFmt numFmtId="200" formatCode="_(* #,##0.00000_);_(* \(#,##0.00000\);_(* &quot;-&quot;??_);_(@_)"/>
    <numFmt numFmtId="201" formatCode="#,###"/>
    <numFmt numFmtId="202" formatCode="_(* #,##0.000_);_(* \(#,##0.000\);_(* &quot;-&quot;??_);_(@_)"/>
    <numFmt numFmtId="203" formatCode="_(* #,##0.0000_);_(* \(#,##0.0000\);_(* &quot;-&quot;??_);_(@_)"/>
    <numFmt numFmtId="204" formatCode="_(* #,##0.0_);_(* \(#,##0.0\);_(* &quot;-&quot;??_);_(@_)"/>
    <numFmt numFmtId="205" formatCode="###\ ###\ ###\ ###"/>
    <numFmt numFmtId="206" formatCode="###.000\ ###\ ###\ ###"/>
    <numFmt numFmtId="207" formatCode="_-* #,##0.000\ _₫_-;\-* #,##0.000\ _₫_-;_-* &quot;-&quot;??\ _₫_-;_-@_-"/>
    <numFmt numFmtId="208" formatCode="_(* #,##0_);_(* \(#,##0\);_(* &quot;-&quot;???_);_(@_)"/>
    <numFmt numFmtId="209" formatCode="0;[Red]0"/>
    <numFmt numFmtId="210" formatCode="_(* #,##0.0_);_(* \(#,##0.0\);_(* &quot;-&quot;?_);_(@_)"/>
    <numFmt numFmtId="211" formatCode="#,##0.000;[Red]#,##0.000"/>
    <numFmt numFmtId="212" formatCode="#,##0.0000;[Red]#,##0.0000"/>
    <numFmt numFmtId="213" formatCode="#,##0.00000;[Red]#,##0.00000"/>
    <numFmt numFmtId="214" formatCode="_(* #,##0.000000_);_(* \(#,##0.000000\);_(* &quot;-&quot;??_);_(@_)"/>
    <numFmt numFmtId="215" formatCode="0.00000"/>
    <numFmt numFmtId="216" formatCode="_(* #,##0.0_);_(* \(#,##0.0\);_(* &quot;-&quot;???_);_(@_)"/>
    <numFmt numFmtId="217" formatCode="_(* #,##0.00_);_(* \(#,##0.00\);_(* &quot;-&quot;???_);_(@_)"/>
    <numFmt numFmtId="218" formatCode="#,###.00"/>
    <numFmt numFmtId="219" formatCode="_-* #,##0.00\ _€_-;\-* #,##0.00\ _€_-;_-* &quot;-&quot;??\ _€_-;_-@_-"/>
    <numFmt numFmtId="220" formatCode="#,###.000"/>
    <numFmt numFmtId="221" formatCode="#,###.0000"/>
  </numFmts>
  <fonts count="104">
    <font>
      <sz val="10"/>
      <name val="Arial"/>
      <family val="0"/>
    </font>
    <font>
      <sz val="12"/>
      <color indexed="8"/>
      <name val="Times New Roman"/>
      <family val="2"/>
    </font>
    <font>
      <sz val="12"/>
      <color indexed="9"/>
      <name val="Times New Roman"/>
      <family val="2"/>
    </font>
    <font>
      <sz val="12"/>
      <color indexed="20"/>
      <name val="Times New Roman"/>
      <family val="2"/>
    </font>
    <font>
      <sz val="10"/>
      <color indexed="8"/>
      <name val="MS Sans Serif"/>
      <family val="2"/>
    </font>
    <font>
      <b/>
      <sz val="12"/>
      <color indexed="52"/>
      <name val="Times New Roman"/>
      <family val="2"/>
    </font>
    <font>
      <b/>
      <sz val="12"/>
      <color indexed="9"/>
      <name val="Times New Roman"/>
      <family val="2"/>
    </font>
    <font>
      <i/>
      <sz val="12"/>
      <color indexed="23"/>
      <name val="Times New Roman"/>
      <family val="2"/>
    </font>
    <font>
      <u val="single"/>
      <sz val="10"/>
      <color indexed="36"/>
      <name val="Arial"/>
      <family val="0"/>
    </font>
    <font>
      <sz val="12"/>
      <color indexed="17"/>
      <name val="Times New Roman"/>
      <family val="2"/>
    </font>
    <font>
      <b/>
      <sz val="15"/>
      <color indexed="54"/>
      <name val="Times New Roman"/>
      <family val="2"/>
    </font>
    <font>
      <b/>
      <sz val="13"/>
      <color indexed="54"/>
      <name val="Times New Roman"/>
      <family val="2"/>
    </font>
    <font>
      <b/>
      <sz val="11"/>
      <color indexed="54"/>
      <name val="Times New Roman"/>
      <family val="2"/>
    </font>
    <font>
      <u val="single"/>
      <sz val="10"/>
      <color indexed="12"/>
      <name val="Arial"/>
      <family val="0"/>
    </font>
    <font>
      <sz val="12"/>
      <color indexed="62"/>
      <name val="Times New Roman"/>
      <family val="2"/>
    </font>
    <font>
      <sz val="12"/>
      <color indexed="52"/>
      <name val="Times New Roman"/>
      <family val="2"/>
    </font>
    <font>
      <sz val="12"/>
      <color indexed="60"/>
      <name val="Times New Roman"/>
      <family val="2"/>
    </font>
    <font>
      <sz val="12"/>
      <name val=".vntime"/>
      <family val="2"/>
    </font>
    <font>
      <sz val="12"/>
      <name val="Times New Roman"/>
      <family val="0"/>
    </font>
    <font>
      <b/>
      <sz val="12"/>
      <color indexed="63"/>
      <name val="Times New Roman"/>
      <family val="2"/>
    </font>
    <font>
      <sz val="18"/>
      <color indexed="54"/>
      <name val="Calibri Light"/>
      <family val="2"/>
    </font>
    <font>
      <b/>
      <sz val="12"/>
      <color indexed="8"/>
      <name val="Times New Roman"/>
      <family val="2"/>
    </font>
    <font>
      <sz val="12"/>
      <color indexed="10"/>
      <name val="Times New Roman"/>
      <family val="2"/>
    </font>
    <font>
      <sz val="8"/>
      <name val="Arial"/>
      <family val="0"/>
    </font>
    <font>
      <b/>
      <sz val="10"/>
      <name val="Times New Roman"/>
      <family val="1"/>
    </font>
    <font>
      <sz val="10"/>
      <color indexed="10"/>
      <name val="Times New Roman"/>
      <family val="0"/>
    </font>
    <font>
      <sz val="10"/>
      <name val="Times New Roman"/>
      <family val="0"/>
    </font>
    <font>
      <b/>
      <sz val="18"/>
      <name val="Times New Roman"/>
      <family val="1"/>
    </font>
    <font>
      <i/>
      <sz val="10"/>
      <name val="Times New Roman"/>
      <family val="1"/>
    </font>
    <font>
      <b/>
      <sz val="10"/>
      <color indexed="10"/>
      <name val="Times New Roman"/>
      <family val="1"/>
    </font>
    <font>
      <i/>
      <sz val="10"/>
      <color indexed="8"/>
      <name val="Times New Roman"/>
      <family val="1"/>
    </font>
    <font>
      <b/>
      <sz val="10"/>
      <color indexed="8"/>
      <name val="Times New Roman"/>
      <family val="1"/>
    </font>
    <font>
      <sz val="10"/>
      <name val=".VnTime"/>
      <family val="2"/>
    </font>
    <font>
      <sz val="10"/>
      <color indexed="10"/>
      <name val=".VnTime"/>
      <family val="2"/>
    </font>
    <font>
      <b/>
      <sz val="8"/>
      <name val="Tahoma"/>
      <family val="0"/>
    </font>
    <font>
      <sz val="8"/>
      <name val="Tahoma"/>
      <family val="0"/>
    </font>
    <font>
      <b/>
      <sz val="11"/>
      <name val="Times New Roman"/>
      <family val="1"/>
    </font>
    <font>
      <sz val="14"/>
      <color indexed="10"/>
      <name val="Times New Roman"/>
      <family val="1"/>
    </font>
    <font>
      <sz val="14"/>
      <name val="Times New Roman"/>
      <family val="1"/>
    </font>
    <font>
      <sz val="11"/>
      <name val="Times New Roman"/>
      <family val="1"/>
    </font>
    <font>
      <b/>
      <sz val="14"/>
      <name val="Times New Roman"/>
      <family val="1"/>
    </font>
    <font>
      <i/>
      <sz val="11"/>
      <name val="Times New Roman"/>
      <family val="1"/>
    </font>
    <font>
      <b/>
      <i/>
      <sz val="9"/>
      <color indexed="10"/>
      <name val="Times New Roman"/>
      <family val="1"/>
    </font>
    <font>
      <i/>
      <sz val="12"/>
      <name val="Times New Roman"/>
      <family val="1"/>
    </font>
    <font>
      <b/>
      <sz val="8"/>
      <name val="Times New Roman"/>
      <family val="1"/>
    </font>
    <font>
      <sz val="8"/>
      <color indexed="8"/>
      <name val="MS Sans Serif"/>
      <family val="2"/>
    </font>
    <font>
      <sz val="8"/>
      <name val="MS Sans Serif"/>
      <family val="2"/>
    </font>
    <font>
      <b/>
      <u val="single"/>
      <sz val="10"/>
      <name val="Times New Roman"/>
      <family val="1"/>
    </font>
    <font>
      <b/>
      <u val="single"/>
      <sz val="12"/>
      <name val="Times New Roman"/>
      <family val="1"/>
    </font>
    <font>
      <b/>
      <sz val="12"/>
      <name val="Times New Roman"/>
      <family val="1"/>
    </font>
    <font>
      <b/>
      <sz val="14"/>
      <color indexed="10"/>
      <name val="Times New Roman"/>
      <family val="1"/>
    </font>
    <font>
      <b/>
      <sz val="9"/>
      <name val="Times New Roman"/>
      <family val="1"/>
    </font>
    <font>
      <b/>
      <sz val="11"/>
      <color indexed="10"/>
      <name val="Times New Roman"/>
      <family val="1"/>
    </font>
    <font>
      <sz val="12"/>
      <color indexed="8"/>
      <name val="MS Sans Serif"/>
      <family val="2"/>
    </font>
    <font>
      <sz val="12"/>
      <name val="Arial"/>
      <family val="0"/>
    </font>
    <font>
      <b/>
      <sz val="12"/>
      <name val="Arial"/>
      <family val="0"/>
    </font>
    <font>
      <b/>
      <u val="single"/>
      <sz val="11"/>
      <name val="Times New Roman"/>
      <family val="1"/>
    </font>
    <font>
      <b/>
      <u val="single"/>
      <sz val="14"/>
      <name val="Times New Roman"/>
      <family val="1"/>
    </font>
    <font>
      <i/>
      <sz val="12"/>
      <color indexed="8"/>
      <name val="Times New Roman"/>
      <family val="1"/>
    </font>
    <font>
      <sz val="10"/>
      <name val="MS Sans Serif"/>
      <family val="2"/>
    </font>
    <font>
      <sz val="11"/>
      <color indexed="10"/>
      <name val="Times New Roman"/>
      <family val="1"/>
    </font>
    <font>
      <sz val="10"/>
      <color indexed="8"/>
      <name val="Times New Roman"/>
      <family val="1"/>
    </font>
    <font>
      <b/>
      <i/>
      <sz val="10"/>
      <name val="Times New Roman"/>
      <family val="1"/>
    </font>
    <font>
      <sz val="12"/>
      <name val=".VnTime"/>
      <family val="0"/>
    </font>
    <font>
      <b/>
      <i/>
      <u val="single"/>
      <sz val="10"/>
      <name val="Times New Roman"/>
      <family val="1"/>
    </font>
    <font>
      <sz val="10"/>
      <color indexed="12"/>
      <name val="Times New Roman"/>
      <family val="1"/>
    </font>
    <font>
      <b/>
      <sz val="10"/>
      <color indexed="12"/>
      <name val="Times New Roman"/>
      <family val="1"/>
    </font>
    <font>
      <i/>
      <sz val="10"/>
      <color indexed="12"/>
      <name val="Times New Roman"/>
      <family val="1"/>
    </font>
    <font>
      <sz val="11"/>
      <name val="Arial"/>
      <family val="0"/>
    </font>
    <font>
      <sz val="11"/>
      <color indexed="8"/>
      <name val="Times New Roman"/>
      <family val="1"/>
    </font>
    <font>
      <sz val="11"/>
      <color indexed="8"/>
      <name val="MS Sans Serif"/>
      <family val="2"/>
    </font>
    <font>
      <b/>
      <sz val="16"/>
      <name val="Times New Roman"/>
      <family val="1"/>
    </font>
    <font>
      <sz val="9"/>
      <name val="Arial"/>
      <family val="0"/>
    </font>
    <font>
      <sz val="9"/>
      <name val="MS Sans Serif"/>
      <family val="2"/>
    </font>
    <font>
      <b/>
      <sz val="9"/>
      <name val="Arial"/>
      <family val="0"/>
    </font>
    <font>
      <b/>
      <sz val="10"/>
      <name val="Arial"/>
      <family val="0"/>
    </font>
    <font>
      <sz val="10"/>
      <color indexed="10"/>
      <name val="MS Sans Serif"/>
      <family val="2"/>
    </font>
    <font>
      <i/>
      <sz val="12"/>
      <color indexed="10"/>
      <name val="Times New Roman"/>
      <family val="1"/>
    </font>
    <font>
      <b/>
      <i/>
      <sz val="11"/>
      <name val="Times New Roman"/>
      <family val="1"/>
    </font>
    <font>
      <b/>
      <u val="single"/>
      <sz val="8"/>
      <name val="Times New Roman"/>
      <family val="1"/>
    </font>
    <font>
      <sz val="9"/>
      <name val="Times New Roman"/>
      <family val="1"/>
    </font>
    <font>
      <b/>
      <u val="single"/>
      <sz val="11"/>
      <color indexed="56"/>
      <name val="Times New Roman"/>
      <family val="1"/>
    </font>
    <font>
      <b/>
      <u val="single"/>
      <sz val="10"/>
      <color indexed="56"/>
      <name val="Times New Roman"/>
      <family val="1"/>
    </font>
    <font>
      <u val="single"/>
      <sz val="10"/>
      <name val="Times New Roman"/>
      <family val="1"/>
    </font>
    <font>
      <u val="single"/>
      <sz val="12"/>
      <name val="Times New Roman"/>
      <family val="1"/>
    </font>
    <font>
      <b/>
      <sz val="9"/>
      <name val="Tahoma"/>
      <family val="0"/>
    </font>
    <font>
      <sz val="9"/>
      <name val="Tahoma"/>
      <family val="0"/>
    </font>
    <font>
      <i/>
      <sz val="9"/>
      <name val="Times New Roman"/>
      <family val="1"/>
    </font>
    <font>
      <sz val="8"/>
      <name val="Times New Roman"/>
      <family val="1"/>
    </font>
    <font>
      <b/>
      <u val="single"/>
      <sz val="9"/>
      <name val="Times New Roman"/>
      <family val="1"/>
    </font>
    <font>
      <b/>
      <sz val="14"/>
      <color indexed="8"/>
      <name val="Times New Roman"/>
      <family val="1"/>
    </font>
    <font>
      <sz val="8"/>
      <color indexed="10"/>
      <name val="Times New Roman"/>
      <family val="1"/>
    </font>
    <font>
      <sz val="17"/>
      <name val="Times New Roman"/>
      <family val="1"/>
    </font>
    <font>
      <i/>
      <sz val="14"/>
      <name val="Times New Roman"/>
      <family val="1"/>
    </font>
    <font>
      <i/>
      <sz val="8"/>
      <color indexed="10"/>
      <name val="Times New Roman"/>
      <family val="1"/>
    </font>
    <font>
      <i/>
      <sz val="8"/>
      <name val="Times New Roman"/>
      <family val="1"/>
    </font>
    <font>
      <b/>
      <i/>
      <u val="single"/>
      <sz val="9"/>
      <name val="Times New Roman"/>
      <family val="1"/>
    </font>
    <font>
      <sz val="10"/>
      <name val=".VnArial Narrow"/>
      <family val="2"/>
    </font>
    <font>
      <b/>
      <i/>
      <sz val="9"/>
      <name val="Times New Roman"/>
      <family val="1"/>
    </font>
    <font>
      <u val="single"/>
      <sz val="9"/>
      <name val="Times New Roman"/>
      <family val="1"/>
    </font>
    <font>
      <sz val="13"/>
      <color indexed="10"/>
      <name val="Times New Roman"/>
      <family val="1"/>
    </font>
    <font>
      <sz val="13"/>
      <name val="Times New Roman"/>
      <family val="1"/>
    </font>
    <font>
      <b/>
      <sz val="13"/>
      <name val="Times New Roman"/>
      <family val="1"/>
    </font>
    <font>
      <b/>
      <sz val="8"/>
      <name val="Arial"/>
      <family val="2"/>
    </font>
  </fonts>
  <fills count="18">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62"/>
        <bgColor indexed="64"/>
      </patternFill>
    </fill>
    <fill>
      <patternFill patternType="solid">
        <fgColor indexed="45"/>
        <bgColor indexed="64"/>
      </patternFill>
    </fill>
  </fills>
  <borders count="3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right>
        <color indexed="63"/>
      </right>
      <top style="thin"/>
      <bottom style="thin"/>
    </border>
    <border>
      <left style="thin"/>
      <right style="thin"/>
      <top style="thin"/>
      <bottom style="thin"/>
    </border>
    <border>
      <left style="thin"/>
      <right/>
      <top style="thin"/>
      <bottom/>
    </border>
    <border>
      <left style="thin"/>
      <right>
        <color indexed="63"/>
      </right>
      <top>
        <color indexed="63"/>
      </top>
      <bottom style="thin"/>
    </border>
    <border>
      <left style="thin"/>
      <right/>
      <top style="thin"/>
      <bottom style="hair"/>
    </border>
    <border>
      <left style="thin"/>
      <right style="thin"/>
      <top style="hair"/>
      <bottom style="hair"/>
    </border>
    <border>
      <left style="thin"/>
      <right style="thin"/>
      <top>
        <color indexed="63"/>
      </top>
      <bottom style="hair"/>
    </border>
    <border>
      <left/>
      <right style="thin"/>
      <top/>
      <bottom style="hair"/>
    </border>
    <border>
      <left/>
      <right style="thin"/>
      <top style="hair"/>
      <bottom style="hair"/>
    </border>
    <border>
      <left style="thin"/>
      <right style="thin"/>
      <top>
        <color indexed="63"/>
      </top>
      <bottom>
        <color indexed="63"/>
      </bottom>
    </border>
    <border>
      <left/>
      <right style="thin"/>
      <top/>
      <bottom/>
    </border>
    <border>
      <left style="thin"/>
      <right style="thin"/>
      <top>
        <color indexed="63"/>
      </top>
      <bottom style="thin"/>
    </border>
    <border>
      <left style="thin"/>
      <right/>
      <top/>
      <bottom style="hair"/>
    </border>
    <border>
      <left/>
      <right style="thin"/>
      <top style="hair"/>
      <bottom/>
    </border>
    <border>
      <left style="thin"/>
      <right style="thin"/>
      <top style="hair"/>
      <bottom>
        <color indexed="63"/>
      </bottom>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style="hair"/>
      <bottom style="hair"/>
    </border>
    <border>
      <left style="thin"/>
      <right style="thin"/>
      <top style="thin"/>
      <bottom style="hair"/>
    </border>
    <border>
      <left style="thin"/>
      <right style="thin"/>
      <top style="hair"/>
      <bottom style="thin"/>
    </border>
    <border>
      <left>
        <color indexed="63"/>
      </left>
      <right style="thin"/>
      <top style="thin"/>
      <bottom style="thin"/>
    </border>
    <border>
      <left style="thin"/>
      <right style="thin"/>
      <top style="thin"/>
      <bottom>
        <color indexed="63"/>
      </bottom>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color indexed="63"/>
      </bottom>
    </border>
    <border>
      <left>
        <color indexed="63"/>
      </left>
      <right style="thin"/>
      <top>
        <color indexed="63"/>
      </top>
      <bottom style="thin"/>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1"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2" borderId="0" applyNumberFormat="0" applyBorder="0" applyAlignment="0" applyProtection="0"/>
    <xf numFmtId="0" fontId="3" fillId="17" borderId="0" applyNumberFormat="0" applyBorder="0" applyAlignment="0" applyProtection="0"/>
    <xf numFmtId="0" fontId="4" fillId="0" borderId="0">
      <alignment/>
      <protection/>
    </xf>
    <xf numFmtId="0" fontId="5" fillId="9" borderId="1" applyNumberFormat="0" applyAlignment="0" applyProtection="0"/>
    <xf numFmtId="0" fontId="6" fillId="14"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7"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3" borderId="1" applyNumberFormat="0" applyAlignment="0" applyProtection="0"/>
    <xf numFmtId="0" fontId="15" fillId="0" borderId="6" applyNumberFormat="0" applyFill="0" applyAlignment="0" applyProtection="0"/>
    <xf numFmtId="0" fontId="16" fillId="10" borderId="0" applyNumberFormat="0" applyBorder="0" applyAlignment="0" applyProtection="0"/>
    <xf numFmtId="0" fontId="17"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63" fillId="0" borderId="0">
      <alignment/>
      <protection/>
    </xf>
    <xf numFmtId="0" fontId="0" fillId="5" borderId="7" applyNumberFormat="0" applyFont="0" applyAlignment="0" applyProtection="0"/>
    <xf numFmtId="0" fontId="19" fillId="9" borderId="8" applyNumberFormat="0" applyAlignment="0" applyProtection="0"/>
    <xf numFmtId="9" fontId="0" fillId="0" borderId="0" applyFont="0" applyFill="0" applyBorder="0" applyAlignment="0" applyProtection="0"/>
    <xf numFmtId="0" fontId="4" fillId="0" borderId="0">
      <alignment/>
      <protection/>
    </xf>
    <xf numFmtId="0" fontId="4" fillId="0" borderId="0">
      <alignment/>
      <protection/>
    </xf>
    <xf numFmtId="0" fontId="20" fillId="0" borderId="0" applyNumberFormat="0" applyFill="0" applyBorder="0" applyAlignment="0" applyProtection="0"/>
    <xf numFmtId="0" fontId="21" fillId="0" borderId="9" applyNumberFormat="0" applyFill="0" applyAlignment="0" applyProtection="0"/>
    <xf numFmtId="0" fontId="22" fillId="0" borderId="0" applyNumberFormat="0" applyFill="0" applyBorder="0" applyAlignment="0" applyProtection="0"/>
  </cellStyleXfs>
  <cellXfs count="1272">
    <xf numFmtId="0" fontId="0" fillId="0" borderId="0" xfId="0" applyAlignment="1">
      <alignment/>
    </xf>
    <xf numFmtId="0" fontId="25" fillId="0" borderId="0" xfId="62" applyFont="1">
      <alignment/>
      <protection/>
    </xf>
    <xf numFmtId="0" fontId="25" fillId="0" borderId="0" xfId="62" applyFont="1" applyFill="1">
      <alignment/>
      <protection/>
    </xf>
    <xf numFmtId="0" fontId="25" fillId="0" borderId="0" xfId="62" applyFont="1">
      <alignment/>
      <protection/>
    </xf>
    <xf numFmtId="3" fontId="26" fillId="0" borderId="0" xfId="62" applyNumberFormat="1" applyFont="1" applyFill="1">
      <alignment/>
      <protection/>
    </xf>
    <xf numFmtId="0" fontId="26" fillId="0" borderId="0" xfId="62" applyFont="1">
      <alignment/>
      <protection/>
    </xf>
    <xf numFmtId="0" fontId="26" fillId="0" borderId="0" xfId="62" applyFont="1" applyFill="1">
      <alignment/>
      <protection/>
    </xf>
    <xf numFmtId="172" fontId="26" fillId="0" borderId="0" xfId="62" applyNumberFormat="1" applyFont="1">
      <alignment/>
      <protection/>
    </xf>
    <xf numFmtId="0" fontId="24" fillId="0" borderId="0" xfId="62" applyFont="1" applyFill="1" applyAlignment="1">
      <alignment horizontal="center" vertical="center" wrapText="1"/>
      <protection/>
    </xf>
    <xf numFmtId="0" fontId="29" fillId="0" borderId="0" xfId="62" applyFont="1" applyFill="1" applyAlignment="1">
      <alignment horizontal="center" vertical="center" wrapText="1"/>
      <protection/>
    </xf>
    <xf numFmtId="3" fontId="24" fillId="0" borderId="0" xfId="62" applyNumberFormat="1" applyFont="1" applyFill="1" applyAlignment="1">
      <alignment horizontal="center" vertical="center" wrapText="1"/>
      <protection/>
    </xf>
    <xf numFmtId="172" fontId="24" fillId="0" borderId="0" xfId="62" applyNumberFormat="1" applyFont="1" applyFill="1" applyAlignment="1">
      <alignment horizontal="center" vertical="center" wrapText="1"/>
      <protection/>
    </xf>
    <xf numFmtId="0" fontId="24" fillId="0" borderId="10" xfId="62" applyFont="1" applyFill="1" applyBorder="1" applyAlignment="1">
      <alignment horizontal="center" vertical="center" wrapText="1"/>
      <protection/>
    </xf>
    <xf numFmtId="0" fontId="24" fillId="0" borderId="11" xfId="62" applyFont="1" applyFill="1" applyBorder="1" applyAlignment="1">
      <alignment horizontal="center" vertical="center" wrapText="1"/>
      <protection/>
    </xf>
    <xf numFmtId="0" fontId="24" fillId="0" borderId="12" xfId="62" applyFont="1" applyFill="1" applyBorder="1" applyAlignment="1">
      <alignment horizontal="center" vertical="center" wrapText="1"/>
      <protection/>
    </xf>
    <xf numFmtId="0" fontId="24" fillId="0" borderId="11" xfId="62" applyFont="1" applyFill="1" applyBorder="1" applyAlignment="1">
      <alignment horizontal="center" vertical="center"/>
      <protection/>
    </xf>
    <xf numFmtId="0" fontId="24" fillId="0" borderId="13" xfId="62" applyFont="1" applyFill="1" applyBorder="1" applyAlignment="1">
      <alignment horizontal="center" vertical="center" wrapText="1"/>
      <protection/>
    </xf>
    <xf numFmtId="3" fontId="24" fillId="0" borderId="14" xfId="62" applyNumberFormat="1" applyFont="1" applyFill="1" applyBorder="1">
      <alignment/>
      <protection/>
    </xf>
    <xf numFmtId="177" fontId="26" fillId="0" borderId="15" xfId="62" applyNumberFormat="1" applyFont="1" applyFill="1" applyBorder="1">
      <alignment/>
      <protection/>
    </xf>
    <xf numFmtId="0" fontId="24" fillId="0" borderId="15" xfId="62" applyFont="1" applyFill="1" applyBorder="1">
      <alignment/>
      <protection/>
    </xf>
    <xf numFmtId="0" fontId="24" fillId="0" borderId="15" xfId="62" applyFont="1" applyFill="1" applyBorder="1" applyAlignment="1">
      <alignment horizontal="center"/>
      <protection/>
    </xf>
    <xf numFmtId="3" fontId="24" fillId="0" borderId="15" xfId="62" applyNumberFormat="1" applyFont="1" applyFill="1" applyBorder="1">
      <alignment/>
      <protection/>
    </xf>
    <xf numFmtId="189" fontId="26" fillId="0" borderId="0" xfId="62" applyNumberFormat="1" applyFont="1">
      <alignment/>
      <protection/>
    </xf>
    <xf numFmtId="177" fontId="26" fillId="0" borderId="0" xfId="62" applyNumberFormat="1" applyFont="1">
      <alignment/>
      <protection/>
    </xf>
    <xf numFmtId="0" fontId="26" fillId="0" borderId="16" xfId="62" applyFont="1" applyFill="1" applyBorder="1">
      <alignment/>
      <protection/>
    </xf>
    <xf numFmtId="3" fontId="26" fillId="0" borderId="16" xfId="62" applyNumberFormat="1" applyFont="1" applyFill="1" applyBorder="1">
      <alignment/>
      <protection/>
    </xf>
    <xf numFmtId="3" fontId="26" fillId="0" borderId="15" xfId="62" applyNumberFormat="1" applyFont="1" applyFill="1" applyBorder="1">
      <alignment/>
      <protection/>
    </xf>
    <xf numFmtId="3" fontId="26" fillId="0" borderId="16" xfId="62" applyNumberFormat="1" applyFont="1" applyFill="1" applyBorder="1" applyAlignment="1">
      <alignment horizontal="center" vertical="center" wrapText="1"/>
      <protection/>
    </xf>
    <xf numFmtId="4" fontId="26" fillId="0" borderId="16" xfId="62" applyNumberFormat="1" applyFont="1" applyFill="1" applyBorder="1">
      <alignment/>
      <protection/>
    </xf>
    <xf numFmtId="4" fontId="26" fillId="0" borderId="17" xfId="62" applyNumberFormat="1" applyFont="1" applyFill="1" applyBorder="1">
      <alignment/>
      <protection/>
    </xf>
    <xf numFmtId="177" fontId="25" fillId="0" borderId="0" xfId="62" applyNumberFormat="1" applyFont="1">
      <alignment/>
      <protection/>
    </xf>
    <xf numFmtId="0" fontId="26" fillId="0" borderId="0" xfId="62" applyFont="1">
      <alignment/>
      <protection/>
    </xf>
    <xf numFmtId="177" fontId="26" fillId="0" borderId="0" xfId="62" applyNumberFormat="1" applyFont="1">
      <alignment/>
      <protection/>
    </xf>
    <xf numFmtId="0" fontId="26" fillId="0" borderId="15" xfId="62" applyFont="1" applyFill="1" applyBorder="1">
      <alignment/>
      <protection/>
    </xf>
    <xf numFmtId="3" fontId="26" fillId="0" borderId="15" xfId="0" applyNumberFormat="1" applyFont="1" applyFill="1" applyBorder="1" applyAlignment="1">
      <alignment/>
    </xf>
    <xf numFmtId="4" fontId="26" fillId="0" borderId="15" xfId="62" applyNumberFormat="1" applyFont="1" applyFill="1" applyBorder="1">
      <alignment/>
      <protection/>
    </xf>
    <xf numFmtId="4" fontId="26" fillId="0" borderId="18" xfId="62" applyNumberFormat="1" applyFont="1" applyFill="1" applyBorder="1">
      <alignment/>
      <protection/>
    </xf>
    <xf numFmtId="3" fontId="26" fillId="0" borderId="18" xfId="62" applyNumberFormat="1" applyFont="1" applyFill="1" applyBorder="1">
      <alignment/>
      <protection/>
    </xf>
    <xf numFmtId="0" fontId="26" fillId="0" borderId="19" xfId="62" applyFont="1" applyFill="1" applyBorder="1">
      <alignment/>
      <protection/>
    </xf>
    <xf numFmtId="3" fontId="26" fillId="0" borderId="19" xfId="62" applyNumberFormat="1" applyFont="1" applyFill="1" applyBorder="1">
      <alignment/>
      <protection/>
    </xf>
    <xf numFmtId="4" fontId="26" fillId="0" borderId="19" xfId="62" applyNumberFormat="1" applyFont="1" applyFill="1" applyBorder="1">
      <alignment/>
      <protection/>
    </xf>
    <xf numFmtId="4" fontId="26" fillId="0" borderId="20" xfId="62" applyNumberFormat="1" applyFont="1" applyFill="1" applyBorder="1">
      <alignment/>
      <protection/>
    </xf>
    <xf numFmtId="0" fontId="24" fillId="0" borderId="19" xfId="62" applyFont="1" applyFill="1" applyBorder="1">
      <alignment/>
      <protection/>
    </xf>
    <xf numFmtId="3" fontId="24" fillId="0" borderId="20" xfId="62" applyNumberFormat="1" applyFont="1" applyFill="1" applyBorder="1">
      <alignment/>
      <protection/>
    </xf>
    <xf numFmtId="0" fontId="26" fillId="0" borderId="15" xfId="62" applyFont="1" applyFill="1" applyBorder="1">
      <alignment/>
      <protection/>
    </xf>
    <xf numFmtId="0" fontId="24" fillId="0" borderId="16" xfId="62" applyFont="1" applyFill="1" applyBorder="1">
      <alignment/>
      <protection/>
    </xf>
    <xf numFmtId="3" fontId="24" fillId="0" borderId="17" xfId="62" applyNumberFormat="1" applyFont="1" applyFill="1" applyBorder="1">
      <alignment/>
      <protection/>
    </xf>
    <xf numFmtId="4" fontId="24" fillId="0" borderId="17" xfId="62" applyNumberFormat="1" applyFont="1" applyFill="1" applyBorder="1">
      <alignment/>
      <protection/>
    </xf>
    <xf numFmtId="0" fontId="25" fillId="0" borderId="21" xfId="62" applyFont="1" applyFill="1" applyBorder="1">
      <alignment/>
      <protection/>
    </xf>
    <xf numFmtId="4" fontId="26" fillId="0" borderId="21" xfId="62" applyNumberFormat="1" applyFont="1" applyFill="1" applyBorder="1">
      <alignment/>
      <protection/>
    </xf>
    <xf numFmtId="0" fontId="25" fillId="0" borderId="0" xfId="62" applyFont="1" applyFill="1">
      <alignment/>
      <protection/>
    </xf>
    <xf numFmtId="3" fontId="26" fillId="0" borderId="0" xfId="62" applyNumberFormat="1" applyFont="1" applyFill="1">
      <alignment/>
      <protection/>
    </xf>
    <xf numFmtId="4" fontId="26" fillId="0" borderId="0" xfId="62" applyNumberFormat="1" applyFont="1">
      <alignment/>
      <protection/>
    </xf>
    <xf numFmtId="4" fontId="26" fillId="0" borderId="0" xfId="62" applyNumberFormat="1" applyFont="1" applyFill="1">
      <alignment/>
      <protection/>
    </xf>
    <xf numFmtId="172" fontId="26" fillId="0" borderId="0" xfId="62" applyNumberFormat="1" applyFont="1">
      <alignment/>
      <protection/>
    </xf>
    <xf numFmtId="0" fontId="26" fillId="0" borderId="0" xfId="62" applyFont="1" applyFill="1">
      <alignment/>
      <protection/>
    </xf>
    <xf numFmtId="0" fontId="32" fillId="0" borderId="0" xfId="62" applyFont="1">
      <alignment/>
      <protection/>
    </xf>
    <xf numFmtId="0" fontId="33" fillId="0" borderId="0" xfId="62" applyFont="1">
      <alignment/>
      <protection/>
    </xf>
    <xf numFmtId="0" fontId="33" fillId="0" borderId="0" xfId="62" applyFont="1" applyFill="1">
      <alignment/>
      <protection/>
    </xf>
    <xf numFmtId="3" fontId="32" fillId="0" borderId="0" xfId="62" applyNumberFormat="1" applyFont="1" applyFill="1">
      <alignment/>
      <protection/>
    </xf>
    <xf numFmtId="0" fontId="32" fillId="0" borderId="0" xfId="62" applyFont="1" applyFill="1">
      <alignment/>
      <protection/>
    </xf>
    <xf numFmtId="172" fontId="32" fillId="0" borderId="0" xfId="62" applyNumberFormat="1" applyFont="1">
      <alignment/>
      <protection/>
    </xf>
    <xf numFmtId="4" fontId="26" fillId="0" borderId="17" xfId="62" applyNumberFormat="1" applyFont="1" applyFill="1" applyBorder="1">
      <alignment/>
      <protection/>
    </xf>
    <xf numFmtId="4" fontId="26" fillId="0" borderId="16" xfId="62" applyNumberFormat="1" applyFont="1" applyFill="1" applyBorder="1">
      <alignment/>
      <protection/>
    </xf>
    <xf numFmtId="4" fontId="25" fillId="0" borderId="16" xfId="62" applyNumberFormat="1" applyFont="1" applyFill="1" applyBorder="1">
      <alignment/>
      <protection/>
    </xf>
    <xf numFmtId="4" fontId="26" fillId="0" borderId="15" xfId="62" applyNumberFormat="1" applyFont="1" applyFill="1" applyBorder="1">
      <alignment/>
      <protection/>
    </xf>
    <xf numFmtId="4" fontId="26" fillId="0" borderId="22" xfId="62" applyNumberFormat="1" applyFont="1" applyFill="1" applyBorder="1">
      <alignment/>
      <protection/>
    </xf>
    <xf numFmtId="4" fontId="25" fillId="0" borderId="15" xfId="62" applyNumberFormat="1" applyFont="1" applyFill="1" applyBorder="1">
      <alignment/>
      <protection/>
    </xf>
    <xf numFmtId="4" fontId="26" fillId="0" borderId="18" xfId="62" applyNumberFormat="1" applyFont="1" applyFill="1" applyBorder="1">
      <alignment/>
      <protection/>
    </xf>
    <xf numFmtId="4" fontId="26" fillId="0" borderId="20" xfId="62" applyNumberFormat="1" applyFont="1" applyFill="1" applyBorder="1">
      <alignment/>
      <protection/>
    </xf>
    <xf numFmtId="4" fontId="26" fillId="0" borderId="23" xfId="62" applyNumberFormat="1" applyFont="1" applyFill="1" applyBorder="1">
      <alignment/>
      <protection/>
    </xf>
    <xf numFmtId="4" fontId="26" fillId="0" borderId="24" xfId="62" applyNumberFormat="1" applyFont="1" applyFill="1" applyBorder="1">
      <alignment/>
      <protection/>
    </xf>
    <xf numFmtId="4" fontId="24" fillId="0" borderId="15" xfId="62" applyNumberFormat="1" applyFont="1" applyFill="1" applyBorder="1">
      <alignment/>
      <protection/>
    </xf>
    <xf numFmtId="4" fontId="24" fillId="0" borderId="18" xfId="62" applyNumberFormat="1" applyFont="1" applyFill="1" applyBorder="1">
      <alignment/>
      <protection/>
    </xf>
    <xf numFmtId="4" fontId="24" fillId="0" borderId="20" xfId="62" applyNumberFormat="1" applyFont="1" applyFill="1" applyBorder="1">
      <alignment/>
      <protection/>
    </xf>
    <xf numFmtId="4" fontId="26" fillId="0" borderId="21" xfId="62" applyNumberFormat="1" applyFont="1" applyFill="1" applyBorder="1">
      <alignment/>
      <protection/>
    </xf>
    <xf numFmtId="0" fontId="37" fillId="0" borderId="0" xfId="0" applyFont="1" applyAlignment="1">
      <alignment/>
    </xf>
    <xf numFmtId="0" fontId="38" fillId="0" borderId="0" xfId="0" applyFont="1" applyAlignment="1">
      <alignment/>
    </xf>
    <xf numFmtId="0" fontId="29" fillId="0" borderId="0" xfId="0" applyFont="1" applyAlignment="1">
      <alignment horizontal="center"/>
    </xf>
    <xf numFmtId="0" fontId="18" fillId="0" borderId="25" xfId="0" applyFont="1" applyBorder="1" applyAlignment="1">
      <alignment horizontal="center"/>
    </xf>
    <xf numFmtId="0" fontId="22" fillId="0" borderId="25" xfId="0" applyFont="1" applyBorder="1" applyAlignment="1">
      <alignment horizontal="center"/>
    </xf>
    <xf numFmtId="0" fontId="42" fillId="0" borderId="25" xfId="0" applyFont="1" applyBorder="1" applyAlignment="1">
      <alignment horizontal="center"/>
    </xf>
    <xf numFmtId="0" fontId="18" fillId="0" borderId="26" xfId="0" applyFont="1" applyBorder="1" applyAlignment="1">
      <alignment/>
    </xf>
    <xf numFmtId="0" fontId="47" fillId="0" borderId="19" xfId="0" applyFont="1" applyBorder="1" applyAlignment="1">
      <alignment horizontal="center"/>
    </xf>
    <xf numFmtId="3" fontId="48" fillId="0" borderId="19" xfId="0" applyNumberFormat="1" applyFont="1" applyBorder="1" applyAlignment="1">
      <alignment/>
    </xf>
    <xf numFmtId="43" fontId="48" fillId="0" borderId="19" xfId="45" applyNumberFormat="1" applyFont="1" applyBorder="1" applyAlignment="1">
      <alignment/>
    </xf>
    <xf numFmtId="4" fontId="48" fillId="0" borderId="19" xfId="0" applyNumberFormat="1" applyFont="1" applyBorder="1" applyAlignment="1">
      <alignment/>
    </xf>
    <xf numFmtId="9" fontId="48" fillId="0" borderId="19" xfId="68" applyFont="1" applyBorder="1" applyAlignment="1">
      <alignment/>
    </xf>
    <xf numFmtId="177" fontId="48" fillId="0" borderId="19" xfId="0" applyNumberFormat="1" applyFont="1" applyBorder="1" applyAlignment="1">
      <alignment/>
    </xf>
    <xf numFmtId="0" fontId="18" fillId="0" borderId="27" xfId="0" applyFont="1" applyBorder="1" applyAlignment="1">
      <alignment horizontal="center"/>
    </xf>
    <xf numFmtId="0" fontId="18" fillId="0" borderId="15" xfId="0" applyFont="1" applyBorder="1" applyAlignment="1">
      <alignment/>
    </xf>
    <xf numFmtId="3" fontId="18" fillId="0" borderId="15" xfId="0" applyNumberFormat="1" applyFont="1" applyBorder="1" applyAlignment="1">
      <alignment/>
    </xf>
    <xf numFmtId="43" fontId="18" fillId="0" borderId="15" xfId="45" applyNumberFormat="1" applyFont="1" applyBorder="1" applyAlignment="1">
      <alignment/>
    </xf>
    <xf numFmtId="4" fontId="18" fillId="0" borderId="15" xfId="0" applyNumberFormat="1" applyFont="1" applyBorder="1" applyAlignment="1">
      <alignment/>
    </xf>
    <xf numFmtId="9" fontId="18" fillId="0" borderId="15" xfId="68" applyFont="1" applyBorder="1" applyAlignment="1">
      <alignment/>
    </xf>
    <xf numFmtId="177" fontId="18" fillId="0" borderId="15" xfId="0" applyNumberFormat="1" applyFont="1" applyBorder="1" applyAlignment="1">
      <alignment/>
    </xf>
    <xf numFmtId="4" fontId="18" fillId="0" borderId="15" xfId="0" applyNumberFormat="1" applyFont="1" applyBorder="1" applyAlignment="1">
      <alignment horizontal="right"/>
    </xf>
    <xf numFmtId="177" fontId="18" fillId="0" borderId="15" xfId="0" applyNumberFormat="1" applyFont="1" applyBorder="1" applyAlignment="1">
      <alignment horizontal="right"/>
    </xf>
    <xf numFmtId="0" fontId="18" fillId="0" borderId="15" xfId="0" applyFont="1" applyFill="1" applyBorder="1" applyAlignment="1">
      <alignment/>
    </xf>
    <xf numFmtId="3" fontId="18" fillId="0" borderId="15" xfId="0" applyNumberFormat="1" applyFont="1" applyFill="1" applyBorder="1" applyAlignment="1">
      <alignment/>
    </xf>
    <xf numFmtId="4" fontId="18" fillId="0" borderId="15" xfId="0" applyNumberFormat="1" applyFont="1" applyFill="1" applyBorder="1" applyAlignment="1">
      <alignment/>
    </xf>
    <xf numFmtId="9" fontId="18" fillId="0" borderId="15" xfId="68" applyFont="1" applyFill="1" applyBorder="1" applyAlignment="1">
      <alignment/>
    </xf>
    <xf numFmtId="0" fontId="38" fillId="0" borderId="0" xfId="0" applyFont="1" applyFill="1" applyAlignment="1">
      <alignment/>
    </xf>
    <xf numFmtId="177" fontId="18" fillId="0" borderId="15" xfId="0" applyNumberFormat="1" applyFont="1" applyFill="1" applyBorder="1" applyAlignment="1">
      <alignment/>
    </xf>
    <xf numFmtId="0" fontId="38" fillId="0" borderId="13" xfId="0" applyFont="1" applyBorder="1" applyAlignment="1">
      <alignment/>
    </xf>
    <xf numFmtId="0" fontId="38" fillId="0" borderId="21" xfId="0" applyFont="1" applyBorder="1" applyAlignment="1">
      <alignment/>
    </xf>
    <xf numFmtId="3" fontId="38" fillId="0" borderId="21" xfId="0" applyNumberFormat="1" applyFont="1" applyBorder="1" applyAlignment="1">
      <alignment/>
    </xf>
    <xf numFmtId="43" fontId="38" fillId="0" borderId="21" xfId="0" applyNumberFormat="1" applyFont="1" applyBorder="1" applyAlignment="1">
      <alignment/>
    </xf>
    <xf numFmtId="0" fontId="38" fillId="0" borderId="0" xfId="0" applyFont="1" applyBorder="1" applyAlignment="1">
      <alignment/>
    </xf>
    <xf numFmtId="3" fontId="37" fillId="0" borderId="0" xfId="0" applyNumberFormat="1" applyFont="1" applyBorder="1" applyAlignment="1">
      <alignment/>
    </xf>
    <xf numFmtId="43" fontId="38" fillId="0" borderId="0" xfId="0" applyNumberFormat="1" applyFont="1" applyBorder="1" applyAlignment="1">
      <alignment/>
    </xf>
    <xf numFmtId="3" fontId="38" fillId="0" borderId="0" xfId="0" applyNumberFormat="1" applyFont="1" applyBorder="1" applyAlignment="1">
      <alignment/>
    </xf>
    <xf numFmtId="0" fontId="40" fillId="0" borderId="0" xfId="0" applyFont="1" applyAlignment="1">
      <alignment/>
    </xf>
    <xf numFmtId="0" fontId="50" fillId="0" borderId="0" xfId="0" applyFont="1" applyAlignment="1">
      <alignment/>
    </xf>
    <xf numFmtId="187" fontId="51" fillId="0" borderId="0" xfId="0" applyNumberFormat="1" applyFont="1" applyAlignment="1">
      <alignment/>
    </xf>
    <xf numFmtId="187" fontId="26" fillId="0" borderId="0" xfId="0" applyNumberFormat="1" applyFont="1" applyAlignment="1">
      <alignment/>
    </xf>
    <xf numFmtId="4" fontId="37" fillId="0" borderId="0" xfId="0" applyNumberFormat="1" applyFont="1" applyAlignment="1">
      <alignment/>
    </xf>
    <xf numFmtId="187" fontId="26" fillId="0" borderId="15" xfId="0" applyNumberFormat="1" applyFont="1" applyBorder="1" applyAlignment="1">
      <alignment horizontal="right"/>
    </xf>
    <xf numFmtId="4" fontId="25" fillId="0" borderId="0" xfId="0" applyNumberFormat="1" applyFont="1" applyAlignment="1">
      <alignment/>
    </xf>
    <xf numFmtId="0" fontId="25" fillId="0" borderId="0" xfId="0" applyFont="1" applyAlignment="1">
      <alignment/>
    </xf>
    <xf numFmtId="0" fontId="25" fillId="0" borderId="0" xfId="0" applyNumberFormat="1" applyFont="1" applyAlignment="1">
      <alignment/>
    </xf>
    <xf numFmtId="0" fontId="26" fillId="0" borderId="0" xfId="0" applyFont="1" applyAlignment="1">
      <alignment/>
    </xf>
    <xf numFmtId="177" fontId="25" fillId="0" borderId="0" xfId="0" applyNumberFormat="1" applyFont="1" applyAlignment="1">
      <alignment/>
    </xf>
    <xf numFmtId="3" fontId="37" fillId="0" borderId="0" xfId="0" applyNumberFormat="1" applyFont="1" applyAlignment="1">
      <alignment/>
    </xf>
    <xf numFmtId="0" fontId="36" fillId="0" borderId="0" xfId="0" applyFont="1" applyAlignment="1">
      <alignment/>
    </xf>
    <xf numFmtId="0" fontId="52" fillId="0" borderId="0" xfId="0" applyFont="1" applyAlignment="1">
      <alignment/>
    </xf>
    <xf numFmtId="0" fontId="39" fillId="0" borderId="28" xfId="0" applyFont="1" applyBorder="1" applyAlignment="1">
      <alignment/>
    </xf>
    <xf numFmtId="0" fontId="56" fillId="0" borderId="28" xfId="0" applyFont="1" applyBorder="1" applyAlignment="1">
      <alignment horizontal="center"/>
    </xf>
    <xf numFmtId="3" fontId="57" fillId="0" borderId="28" xfId="0" applyNumberFormat="1" applyFont="1" applyBorder="1" applyAlignment="1">
      <alignment/>
    </xf>
    <xf numFmtId="9" fontId="57" fillId="0" borderId="28" xfId="68" applyFont="1" applyBorder="1" applyAlignment="1">
      <alignment/>
    </xf>
    <xf numFmtId="0" fontId="38" fillId="0" borderId="15" xfId="0" applyFont="1" applyBorder="1" applyAlignment="1">
      <alignment horizontal="center"/>
    </xf>
    <xf numFmtId="0" fontId="38" fillId="0" borderId="15" xfId="0" applyFont="1" applyBorder="1" applyAlignment="1">
      <alignment/>
    </xf>
    <xf numFmtId="3" fontId="38" fillId="0" borderId="15" xfId="0" applyNumberFormat="1" applyFont="1" applyBorder="1" applyAlignment="1">
      <alignment/>
    </xf>
    <xf numFmtId="9" fontId="38" fillId="0" borderId="15" xfId="68" applyFont="1" applyBorder="1" applyAlignment="1">
      <alignment/>
    </xf>
    <xf numFmtId="0" fontId="38" fillId="0" borderId="29" xfId="0" applyFont="1" applyBorder="1" applyAlignment="1">
      <alignment/>
    </xf>
    <xf numFmtId="0" fontId="37" fillId="0" borderId="29" xfId="0" applyFont="1" applyBorder="1" applyAlignment="1">
      <alignment/>
    </xf>
    <xf numFmtId="4" fontId="57" fillId="0" borderId="28" xfId="0" applyNumberFormat="1" applyFont="1" applyBorder="1" applyAlignment="1">
      <alignment/>
    </xf>
    <xf numFmtId="4" fontId="38" fillId="0" borderId="15" xfId="0" applyNumberFormat="1" applyFont="1" applyBorder="1" applyAlignment="1">
      <alignment/>
    </xf>
    <xf numFmtId="0" fontId="49" fillId="0" borderId="0" xfId="0" applyFont="1" applyAlignment="1">
      <alignment horizontal="left"/>
    </xf>
    <xf numFmtId="0" fontId="49" fillId="0" borderId="0" xfId="0" applyFont="1" applyAlignment="1">
      <alignment/>
    </xf>
    <xf numFmtId="0" fontId="38" fillId="0" borderId="25" xfId="0" applyFont="1" applyBorder="1" applyAlignment="1">
      <alignment horizontal="center"/>
    </xf>
    <xf numFmtId="177" fontId="39" fillId="0" borderId="0" xfId="0" applyNumberFormat="1" applyFont="1" applyAlignment="1">
      <alignment/>
    </xf>
    <xf numFmtId="0" fontId="39" fillId="0" borderId="0" xfId="0" applyFont="1" applyAlignment="1">
      <alignment/>
    </xf>
    <xf numFmtId="3" fontId="39" fillId="0" borderId="0" xfId="0" applyNumberFormat="1" applyFont="1" applyAlignment="1">
      <alignment/>
    </xf>
    <xf numFmtId="189" fontId="39" fillId="0" borderId="0" xfId="0" applyNumberFormat="1" applyFont="1" applyAlignment="1">
      <alignment/>
    </xf>
    <xf numFmtId="187" fontId="39" fillId="0" borderId="0" xfId="0" applyNumberFormat="1" applyFont="1" applyAlignment="1">
      <alignment/>
    </xf>
    <xf numFmtId="0" fontId="39" fillId="0" borderId="0" xfId="0" applyFont="1" applyBorder="1" applyAlignment="1">
      <alignment horizontal="center"/>
    </xf>
    <xf numFmtId="0" fontId="39" fillId="0" borderId="0" xfId="0" applyFont="1" applyBorder="1" applyAlignment="1">
      <alignment/>
    </xf>
    <xf numFmtId="3" fontId="60" fillId="0" borderId="0" xfId="0" applyNumberFormat="1" applyFont="1" applyBorder="1" applyAlignment="1">
      <alignment/>
    </xf>
    <xf numFmtId="3" fontId="39" fillId="0" borderId="0" xfId="0" applyNumberFormat="1" applyFont="1" applyBorder="1" applyAlignment="1">
      <alignment/>
    </xf>
    <xf numFmtId="0" fontId="38" fillId="0" borderId="0" xfId="0" applyFont="1" applyAlignment="1">
      <alignment horizontal="center"/>
    </xf>
    <xf numFmtId="3" fontId="26" fillId="0" borderId="15" xfId="0" applyNumberFormat="1" applyFont="1" applyBorder="1" applyAlignment="1">
      <alignment/>
    </xf>
    <xf numFmtId="3" fontId="26" fillId="4" borderId="15" xfId="0" applyNumberFormat="1" applyFont="1" applyFill="1" applyBorder="1" applyAlignment="1">
      <alignment/>
    </xf>
    <xf numFmtId="172" fontId="26" fillId="0" borderId="15" xfId="0" applyNumberFormat="1" applyFont="1" applyBorder="1" applyAlignment="1">
      <alignment/>
    </xf>
    <xf numFmtId="4" fontId="26" fillId="0" borderId="15" xfId="0" applyNumberFormat="1" applyFont="1" applyBorder="1" applyAlignment="1">
      <alignment/>
    </xf>
    <xf numFmtId="9" fontId="26" fillId="0" borderId="15" xfId="68" applyFont="1" applyBorder="1" applyAlignment="1">
      <alignment/>
    </xf>
    <xf numFmtId="4" fontId="26" fillId="0" borderId="15" xfId="0" applyNumberFormat="1" applyFont="1" applyFill="1" applyBorder="1" applyAlignment="1">
      <alignment/>
    </xf>
    <xf numFmtId="3" fontId="47" fillId="0" borderId="15" xfId="0" applyNumberFormat="1" applyFont="1" applyBorder="1" applyAlignment="1">
      <alignment/>
    </xf>
    <xf numFmtId="4" fontId="47" fillId="0" borderId="15" xfId="0" applyNumberFormat="1" applyFont="1" applyBorder="1" applyAlignment="1">
      <alignment/>
    </xf>
    <xf numFmtId="9" fontId="47" fillId="0" borderId="15" xfId="68" applyFont="1" applyBorder="1" applyAlignment="1">
      <alignment/>
    </xf>
    <xf numFmtId="3" fontId="24" fillId="0" borderId="15" xfId="0" applyNumberFormat="1" applyFont="1" applyBorder="1" applyAlignment="1">
      <alignment/>
    </xf>
    <xf numFmtId="4" fontId="24" fillId="0" borderId="15" xfId="0" applyNumberFormat="1" applyFont="1" applyBorder="1" applyAlignment="1">
      <alignment/>
    </xf>
    <xf numFmtId="0" fontId="24" fillId="0" borderId="16" xfId="0" applyFont="1" applyBorder="1" applyAlignment="1">
      <alignment horizontal="center"/>
    </xf>
    <xf numFmtId="0" fontId="24" fillId="0" borderId="16" xfId="0" applyFont="1" applyBorder="1" applyAlignment="1">
      <alignment/>
    </xf>
    <xf numFmtId="3" fontId="24" fillId="0" borderId="16" xfId="0" applyNumberFormat="1" applyFont="1" applyBorder="1" applyAlignment="1">
      <alignment/>
    </xf>
    <xf numFmtId="0" fontId="47" fillId="0" borderId="15" xfId="0" applyFont="1" applyBorder="1" applyAlignment="1">
      <alignment horizontal="center"/>
    </xf>
    <xf numFmtId="0" fontId="47" fillId="0" borderId="15" xfId="0" applyFont="1" applyBorder="1" applyAlignment="1">
      <alignment/>
    </xf>
    <xf numFmtId="0" fontId="26" fillId="0" borderId="15" xfId="0" applyFont="1" applyBorder="1" applyAlignment="1">
      <alignment horizontal="center"/>
    </xf>
    <xf numFmtId="0" fontId="26" fillId="0" borderId="15" xfId="0" applyFont="1" applyBorder="1" applyAlignment="1">
      <alignment/>
    </xf>
    <xf numFmtId="0" fontId="61" fillId="0" borderId="15" xfId="0" applyNumberFormat="1" applyFont="1" applyBorder="1" applyAlignment="1">
      <alignment wrapText="1"/>
    </xf>
    <xf numFmtId="0" fontId="24" fillId="0" borderId="15" xfId="0" applyFont="1" applyBorder="1" applyAlignment="1">
      <alignment horizontal="center"/>
    </xf>
    <xf numFmtId="0" fontId="24" fillId="0" borderId="15" xfId="0" applyFont="1" applyBorder="1" applyAlignment="1">
      <alignment/>
    </xf>
    <xf numFmtId="0" fontId="26" fillId="0" borderId="29" xfId="0" applyFont="1" applyBorder="1" applyAlignment="1">
      <alignment horizontal="center"/>
    </xf>
    <xf numFmtId="0" fontId="26" fillId="0" borderId="29" xfId="0" applyFont="1" applyBorder="1" applyAlignment="1">
      <alignment/>
    </xf>
    <xf numFmtId="3" fontId="25" fillId="0" borderId="29" xfId="0" applyNumberFormat="1" applyFont="1" applyBorder="1" applyAlignment="1">
      <alignment/>
    </xf>
    <xf numFmtId="3" fontId="26" fillId="0" borderId="29" xfId="0" applyNumberFormat="1" applyFont="1" applyBorder="1" applyAlignment="1">
      <alignment/>
    </xf>
    <xf numFmtId="0" fontId="26" fillId="0" borderId="0" xfId="0" applyFont="1" applyFill="1" applyAlignment="1">
      <alignment horizontal="center" vertical="center"/>
    </xf>
    <xf numFmtId="0" fontId="26" fillId="0" borderId="0" xfId="0" applyFont="1" applyFill="1" applyAlignment="1">
      <alignment horizontal="center" vertical="center" wrapText="1"/>
    </xf>
    <xf numFmtId="0" fontId="26" fillId="0" borderId="0" xfId="0" applyFont="1" applyFill="1" applyAlignment="1">
      <alignment horizontal="right" vertical="center"/>
    </xf>
    <xf numFmtId="218" fontId="26" fillId="0" borderId="0" xfId="0" applyNumberFormat="1" applyFont="1" applyFill="1" applyAlignment="1">
      <alignment horizontal="right" vertical="center"/>
    </xf>
    <xf numFmtId="218" fontId="24" fillId="0" borderId="0" xfId="0" applyNumberFormat="1" applyFont="1" applyFill="1" applyAlignment="1">
      <alignment horizontal="right" vertical="center"/>
    </xf>
    <xf numFmtId="201" fontId="62" fillId="0" borderId="0" xfId="0" applyNumberFormat="1" applyFont="1" applyFill="1" applyAlignment="1">
      <alignment vertical="center"/>
    </xf>
    <xf numFmtId="201" fontId="24" fillId="0" borderId="0" xfId="0" applyNumberFormat="1" applyFont="1" applyFill="1" applyAlignment="1">
      <alignment horizontal="right" vertical="center"/>
    </xf>
    <xf numFmtId="3" fontId="24" fillId="0" borderId="0" xfId="0" applyNumberFormat="1" applyFont="1" applyFill="1" applyAlignment="1">
      <alignment horizontal="right" vertical="center"/>
    </xf>
    <xf numFmtId="0" fontId="62" fillId="0" borderId="0" xfId="0" applyFont="1" applyFill="1" applyAlignment="1">
      <alignment vertical="center"/>
    </xf>
    <xf numFmtId="0" fontId="26" fillId="0" borderId="0" xfId="0" applyFont="1" applyFill="1" applyBorder="1" applyAlignment="1">
      <alignment horizontal="left" vertical="center"/>
    </xf>
    <xf numFmtId="0" fontId="26" fillId="0" borderId="0" xfId="0" applyFont="1" applyFill="1" applyBorder="1" applyAlignment="1">
      <alignment vertical="center"/>
    </xf>
    <xf numFmtId="0" fontId="62" fillId="0" borderId="0" xfId="0" applyFont="1" applyFill="1" applyBorder="1" applyAlignment="1">
      <alignment horizontal="center" vertical="center"/>
    </xf>
    <xf numFmtId="0" fontId="62" fillId="0" borderId="0" xfId="0" applyFont="1" applyFill="1" applyBorder="1" applyAlignment="1">
      <alignment horizontal="right" vertical="center" wrapText="1"/>
    </xf>
    <xf numFmtId="0" fontId="62" fillId="0" borderId="0" xfId="0" applyFont="1" applyFill="1" applyBorder="1" applyAlignment="1">
      <alignment horizontal="center" vertical="center" wrapText="1"/>
    </xf>
    <xf numFmtId="218" fontId="26" fillId="0" borderId="0" xfId="0" applyNumberFormat="1" applyFont="1" applyFill="1" applyBorder="1" applyAlignment="1">
      <alignment horizontal="right" vertical="center"/>
    </xf>
    <xf numFmtId="201" fontId="26" fillId="0" borderId="0" xfId="0" applyNumberFormat="1" applyFont="1" applyFill="1" applyBorder="1" applyAlignment="1">
      <alignment horizontal="center" vertical="center"/>
    </xf>
    <xf numFmtId="201" fontId="26" fillId="0" borderId="0" xfId="0" applyNumberFormat="1" applyFont="1" applyFill="1" applyBorder="1" applyAlignment="1">
      <alignment horizontal="right" vertical="center"/>
    </xf>
    <xf numFmtId="0" fontId="26" fillId="0" borderId="0" xfId="0" applyFont="1" applyFill="1" applyBorder="1" applyAlignment="1">
      <alignment horizontal="center" vertical="center"/>
    </xf>
    <xf numFmtId="201" fontId="24" fillId="0" borderId="30" xfId="0" applyNumberFormat="1" applyFont="1" applyFill="1" applyBorder="1" applyAlignment="1">
      <alignment horizontal="center" vertical="center" wrapText="1"/>
    </xf>
    <xf numFmtId="201" fontId="24" fillId="0" borderId="31" xfId="0" applyNumberFormat="1" applyFont="1" applyFill="1" applyBorder="1" applyAlignment="1">
      <alignment horizontal="center" vertical="center" wrapText="1"/>
    </xf>
    <xf numFmtId="0" fontId="24" fillId="0" borderId="0" xfId="0" applyFont="1" applyFill="1" applyBorder="1" applyAlignment="1">
      <alignment horizontal="left" vertical="center"/>
    </xf>
    <xf numFmtId="0" fontId="24" fillId="0" borderId="0" xfId="0" applyFont="1" applyFill="1" applyBorder="1" applyAlignment="1">
      <alignment vertical="center"/>
    </xf>
    <xf numFmtId="218" fontId="24" fillId="0" borderId="19" xfId="0" applyNumberFormat="1" applyFont="1" applyFill="1" applyBorder="1" applyAlignment="1">
      <alignment horizontal="center" vertical="center" wrapText="1"/>
    </xf>
    <xf numFmtId="218" fontId="24" fillId="0" borderId="21" xfId="0" applyNumberFormat="1" applyFont="1" applyFill="1" applyBorder="1" applyAlignment="1">
      <alignment horizontal="center" vertical="center" wrapText="1"/>
    </xf>
    <xf numFmtId="218" fontId="24" fillId="0" borderId="11" xfId="0" applyNumberFormat="1" applyFont="1" applyFill="1" applyBorder="1" applyAlignment="1">
      <alignment horizontal="center" vertical="center" wrapText="1"/>
    </xf>
    <xf numFmtId="218" fontId="24" fillId="0" borderId="11" xfId="0" applyNumberFormat="1" applyFont="1" applyFill="1" applyBorder="1" applyAlignment="1">
      <alignment horizontal="center" vertical="center" wrapText="1"/>
    </xf>
    <xf numFmtId="218" fontId="24" fillId="0" borderId="10" xfId="0" applyNumberFormat="1" applyFont="1" applyFill="1" applyBorder="1" applyAlignment="1">
      <alignment horizontal="center" vertical="center" wrapText="1"/>
    </xf>
    <xf numFmtId="201" fontId="24" fillId="0" borderId="11" xfId="0" applyNumberFormat="1" applyFont="1" applyFill="1" applyBorder="1" applyAlignment="1">
      <alignment horizontal="center" vertical="center" wrapText="1"/>
    </xf>
    <xf numFmtId="201" fontId="24" fillId="0" borderId="11" xfId="0" applyNumberFormat="1" applyFont="1" applyFill="1" applyBorder="1" applyAlignment="1">
      <alignment horizontal="center" vertical="center" wrapText="1"/>
    </xf>
    <xf numFmtId="201" fontId="24" fillId="0" borderId="13" xfId="0" applyNumberFormat="1" applyFont="1" applyFill="1" applyBorder="1" applyAlignment="1">
      <alignment horizontal="center" vertical="center" wrapText="1"/>
    </xf>
    <xf numFmtId="0" fontId="47" fillId="0" borderId="28" xfId="0" applyFont="1" applyFill="1" applyBorder="1" applyAlignment="1">
      <alignment horizontal="center" vertical="center"/>
    </xf>
    <xf numFmtId="0" fontId="47" fillId="0" borderId="28" xfId="0" applyFont="1" applyFill="1" applyBorder="1" applyAlignment="1">
      <alignment horizontal="center" vertical="center" wrapText="1"/>
    </xf>
    <xf numFmtId="3" fontId="47" fillId="0" borderId="28" xfId="0" applyNumberFormat="1" applyFont="1" applyFill="1" applyBorder="1" applyAlignment="1">
      <alignment horizontal="center" vertical="center"/>
    </xf>
    <xf numFmtId="3" fontId="47" fillId="0" borderId="28" xfId="0" applyNumberFormat="1" applyFont="1" applyFill="1" applyBorder="1" applyAlignment="1">
      <alignment horizontal="center" vertical="center" wrapText="1"/>
    </xf>
    <xf numFmtId="3" fontId="47" fillId="0" borderId="28" xfId="0" applyNumberFormat="1" applyFont="1" applyFill="1" applyBorder="1" applyAlignment="1">
      <alignment vertical="center"/>
    </xf>
    <xf numFmtId="3" fontId="47" fillId="0" borderId="28" xfId="0" applyNumberFormat="1" applyFont="1" applyFill="1" applyBorder="1" applyAlignment="1">
      <alignment horizontal="right" vertical="center"/>
    </xf>
    <xf numFmtId="218" fontId="56" fillId="0" borderId="28" xfId="0" applyNumberFormat="1" applyFont="1" applyFill="1" applyBorder="1" applyAlignment="1">
      <alignment horizontal="right" vertical="center"/>
    </xf>
    <xf numFmtId="201" fontId="47" fillId="0" borderId="28" xfId="0" applyNumberFormat="1" applyFont="1" applyFill="1" applyBorder="1" applyAlignment="1">
      <alignment horizontal="right" vertical="center"/>
    </xf>
    <xf numFmtId="0" fontId="64" fillId="0" borderId="0" xfId="0" applyFont="1" applyFill="1" applyBorder="1" applyAlignment="1">
      <alignment horizontal="left" vertical="center"/>
    </xf>
    <xf numFmtId="0" fontId="64" fillId="0" borderId="0" xfId="0" applyFont="1" applyFill="1" applyBorder="1" applyAlignment="1">
      <alignment vertical="center"/>
    </xf>
    <xf numFmtId="0" fontId="24" fillId="0" borderId="15" xfId="0" applyFont="1" applyFill="1" applyBorder="1" applyAlignment="1">
      <alignment horizontal="center" vertical="center"/>
    </xf>
    <xf numFmtId="0" fontId="24" fillId="0" borderId="15" xfId="0" applyFont="1" applyFill="1" applyBorder="1" applyAlignment="1">
      <alignment horizontal="left" vertical="center" wrapText="1"/>
    </xf>
    <xf numFmtId="3" fontId="24" fillId="0" borderId="15" xfId="0" applyNumberFormat="1" applyFont="1" applyFill="1" applyBorder="1" applyAlignment="1">
      <alignment horizontal="center" vertical="center"/>
    </xf>
    <xf numFmtId="3" fontId="24" fillId="0" borderId="15" xfId="0" applyNumberFormat="1" applyFont="1" applyFill="1" applyBorder="1" applyAlignment="1">
      <alignment horizontal="center" vertical="center" wrapText="1"/>
    </xf>
    <xf numFmtId="3" fontId="24" fillId="0" borderId="15" xfId="0" applyNumberFormat="1" applyFont="1" applyFill="1" applyBorder="1" applyAlignment="1">
      <alignment vertical="center"/>
    </xf>
    <xf numFmtId="3" fontId="24" fillId="0" borderId="15" xfId="0" applyNumberFormat="1" applyFont="1" applyFill="1" applyBorder="1" applyAlignment="1">
      <alignment horizontal="right" vertical="center"/>
    </xf>
    <xf numFmtId="218" fontId="24" fillId="0" borderId="15" xfId="0" applyNumberFormat="1" applyFont="1" applyFill="1" applyBorder="1" applyAlignment="1">
      <alignment horizontal="right" vertical="center"/>
    </xf>
    <xf numFmtId="201" fontId="24" fillId="0" borderId="15" xfId="0" applyNumberFormat="1" applyFont="1" applyFill="1" applyBorder="1" applyAlignment="1">
      <alignment horizontal="right" vertical="center"/>
    </xf>
    <xf numFmtId="3" fontId="24" fillId="0" borderId="0" xfId="0" applyNumberFormat="1" applyFont="1" applyFill="1" applyBorder="1" applyAlignment="1">
      <alignment horizontal="left" vertical="center"/>
    </xf>
    <xf numFmtId="0" fontId="62" fillId="0" borderId="0" xfId="0" applyFont="1" applyFill="1" applyBorder="1" applyAlignment="1">
      <alignment horizontal="left" vertical="center"/>
    </xf>
    <xf numFmtId="3" fontId="62" fillId="0" borderId="0" xfId="0" applyNumberFormat="1" applyFont="1" applyFill="1" applyBorder="1" applyAlignment="1">
      <alignment horizontal="left" vertical="center"/>
    </xf>
    <xf numFmtId="218" fontId="24" fillId="0" borderId="15" xfId="0" applyNumberFormat="1" applyFont="1" applyFill="1" applyBorder="1" applyAlignment="1">
      <alignment vertical="center"/>
    </xf>
    <xf numFmtId="201" fontId="24" fillId="0" borderId="15" xfId="0" applyNumberFormat="1" applyFont="1" applyFill="1" applyBorder="1" applyAlignment="1">
      <alignment vertical="center"/>
    </xf>
    <xf numFmtId="201" fontId="24" fillId="0" borderId="0" xfId="0" applyNumberFormat="1" applyFont="1" applyFill="1" applyBorder="1" applyAlignment="1">
      <alignment horizontal="left" vertical="center"/>
    </xf>
    <xf numFmtId="0" fontId="26" fillId="0" borderId="15" xfId="0" applyFont="1" applyFill="1" applyBorder="1" applyAlignment="1">
      <alignment horizontal="center" vertical="center"/>
    </xf>
    <xf numFmtId="0" fontId="26" fillId="0" borderId="15" xfId="0" applyFont="1" applyFill="1" applyBorder="1" applyAlignment="1">
      <alignment horizontal="left" vertical="center" wrapText="1"/>
    </xf>
    <xf numFmtId="3" fontId="26" fillId="0" borderId="15" xfId="0" applyNumberFormat="1" applyFont="1" applyFill="1" applyBorder="1" applyAlignment="1">
      <alignment horizontal="center" vertical="center"/>
    </xf>
    <xf numFmtId="1" fontId="26" fillId="0" borderId="15" xfId="0" applyNumberFormat="1" applyFont="1" applyFill="1" applyBorder="1" applyAlignment="1">
      <alignment horizontal="center" vertical="center"/>
    </xf>
    <xf numFmtId="3" fontId="26" fillId="0" borderId="15" xfId="0" applyNumberFormat="1" applyFont="1" applyFill="1" applyBorder="1" applyAlignment="1">
      <alignment horizontal="center" vertical="center" wrapText="1"/>
    </xf>
    <xf numFmtId="3" fontId="26" fillId="0" borderId="15" xfId="0" applyNumberFormat="1" applyFont="1" applyFill="1" applyBorder="1" applyAlignment="1">
      <alignment vertical="center"/>
    </xf>
    <xf numFmtId="3" fontId="26" fillId="0" borderId="15" xfId="0" applyNumberFormat="1" applyFont="1" applyFill="1" applyBorder="1" applyAlignment="1">
      <alignment horizontal="right" vertical="center"/>
    </xf>
    <xf numFmtId="218" fontId="26" fillId="0" borderId="15" xfId="0" applyNumberFormat="1" applyFont="1" applyFill="1" applyBorder="1" applyAlignment="1">
      <alignment horizontal="right" vertical="center"/>
    </xf>
    <xf numFmtId="218" fontId="26" fillId="0" borderId="15" xfId="0" applyNumberFormat="1" applyFont="1" applyFill="1" applyBorder="1" applyAlignment="1">
      <alignment horizontal="right" vertical="center"/>
    </xf>
    <xf numFmtId="218" fontId="61" fillId="0" borderId="15" xfId="69" applyNumberFormat="1" applyFont="1" applyFill="1" applyBorder="1" applyAlignment="1">
      <alignment vertical="center" wrapText="1"/>
      <protection/>
    </xf>
    <xf numFmtId="201" fontId="26" fillId="0" borderId="15" xfId="0" applyNumberFormat="1" applyFont="1" applyFill="1" applyBorder="1" applyAlignment="1">
      <alignment horizontal="right" vertical="center"/>
    </xf>
    <xf numFmtId="201" fontId="26" fillId="0" borderId="15" xfId="0" applyNumberFormat="1" applyFont="1" applyFill="1" applyBorder="1" applyAlignment="1">
      <alignment horizontal="right" vertical="center"/>
    </xf>
    <xf numFmtId="201" fontId="61" fillId="0" borderId="15" xfId="69" applyNumberFormat="1" applyFont="1" applyFill="1" applyBorder="1" applyAlignment="1">
      <alignment vertical="center" wrapText="1"/>
      <protection/>
    </xf>
    <xf numFmtId="201" fontId="28" fillId="0" borderId="15" xfId="0" applyNumberFormat="1" applyFont="1" applyFill="1" applyBorder="1" applyAlignment="1">
      <alignment horizontal="left" vertical="center"/>
    </xf>
    <xf numFmtId="3" fontId="26" fillId="0" borderId="15" xfId="0" applyNumberFormat="1" applyFont="1" applyFill="1" applyBorder="1" applyAlignment="1">
      <alignment horizontal="right" vertical="center"/>
    </xf>
    <xf numFmtId="0" fontId="28" fillId="0" borderId="0" xfId="0" applyFont="1" applyFill="1" applyBorder="1" applyAlignment="1">
      <alignment horizontal="left" vertical="center"/>
    </xf>
    <xf numFmtId="43" fontId="28" fillId="0" borderId="0" xfId="45" applyFont="1" applyFill="1" applyBorder="1" applyAlignment="1">
      <alignment horizontal="left" vertical="center"/>
    </xf>
    <xf numFmtId="219" fontId="28" fillId="0" borderId="0" xfId="0" applyNumberFormat="1" applyFont="1" applyFill="1" applyBorder="1" applyAlignment="1">
      <alignment horizontal="left" vertical="center"/>
    </xf>
    <xf numFmtId="218" fontId="61" fillId="0" borderId="24" xfId="69" applyNumberFormat="1" applyFont="1" applyFill="1" applyBorder="1" applyAlignment="1">
      <alignment vertical="center" wrapText="1"/>
      <protection/>
    </xf>
    <xf numFmtId="201" fontId="26" fillId="0" borderId="24" xfId="0" applyNumberFormat="1" applyFont="1" applyFill="1" applyBorder="1" applyAlignment="1">
      <alignment horizontal="right" vertical="center"/>
    </xf>
    <xf numFmtId="0" fontId="26" fillId="0" borderId="15" xfId="0" applyNumberFormat="1" applyFont="1" applyFill="1" applyBorder="1" applyAlignment="1">
      <alignment horizontal="center" vertical="center"/>
    </xf>
    <xf numFmtId="201" fontId="61" fillId="0" borderId="15" xfId="69" applyNumberFormat="1" applyFont="1" applyFill="1" applyBorder="1" applyAlignment="1">
      <alignment horizontal="left" vertical="center" wrapText="1"/>
      <protection/>
    </xf>
    <xf numFmtId="0" fontId="65" fillId="0" borderId="15" xfId="0" applyFont="1" applyFill="1" applyBorder="1" applyAlignment="1">
      <alignment horizontal="center" vertical="center"/>
    </xf>
    <xf numFmtId="0" fontId="65" fillId="0" borderId="15" xfId="0" applyFont="1" applyFill="1" applyBorder="1" applyAlignment="1">
      <alignment horizontal="center" vertical="center" wrapText="1"/>
    </xf>
    <xf numFmtId="3" fontId="65" fillId="0" borderId="15" xfId="0" applyNumberFormat="1" applyFont="1" applyFill="1" applyBorder="1" applyAlignment="1">
      <alignment vertical="center"/>
    </xf>
    <xf numFmtId="3" fontId="65" fillId="0" borderId="15" xfId="0" applyNumberFormat="1" applyFont="1" applyFill="1" applyBorder="1" applyAlignment="1">
      <alignment horizontal="right" vertical="center"/>
    </xf>
    <xf numFmtId="218" fontId="65" fillId="0" borderId="15" xfId="0" applyNumberFormat="1" applyFont="1" applyFill="1" applyBorder="1" applyAlignment="1">
      <alignment horizontal="right" vertical="center"/>
    </xf>
    <xf numFmtId="218" fontId="65" fillId="0" borderId="15" xfId="0" applyNumberFormat="1" applyFont="1" applyFill="1" applyBorder="1" applyAlignment="1">
      <alignment vertical="center"/>
    </xf>
    <xf numFmtId="201" fontId="65" fillId="0" borderId="15" xfId="0" applyNumberFormat="1" applyFont="1" applyFill="1" applyBorder="1" applyAlignment="1">
      <alignment vertical="center"/>
    </xf>
    <xf numFmtId="201" fontId="61" fillId="0" borderId="15" xfId="0" applyNumberFormat="1" applyFont="1" applyFill="1" applyBorder="1" applyAlignment="1">
      <alignment vertical="center" wrapText="1"/>
    </xf>
    <xf numFmtId="201" fontId="65" fillId="0" borderId="15" xfId="0" applyNumberFormat="1" applyFont="1" applyFill="1" applyBorder="1" applyAlignment="1">
      <alignment horizontal="center" vertical="center"/>
    </xf>
    <xf numFmtId="0" fontId="65" fillId="0" borderId="0" xfId="0" applyFont="1" applyFill="1" applyBorder="1" applyAlignment="1">
      <alignment horizontal="left" vertical="center"/>
    </xf>
    <xf numFmtId="0" fontId="65" fillId="0" borderId="0" xfId="0" applyFont="1" applyFill="1" applyBorder="1" applyAlignment="1">
      <alignment horizontal="center" vertical="center"/>
    </xf>
    <xf numFmtId="0" fontId="26" fillId="0" borderId="15" xfId="0" applyFont="1" applyFill="1" applyBorder="1" applyAlignment="1">
      <alignment horizontal="center" vertical="center"/>
    </xf>
    <xf numFmtId="0" fontId="26" fillId="0" borderId="15" xfId="0" applyNumberFormat="1" applyFont="1" applyFill="1" applyBorder="1" applyAlignment="1">
      <alignment horizontal="center" vertical="center"/>
    </xf>
    <xf numFmtId="0" fontId="65" fillId="0" borderId="15" xfId="0" applyFont="1" applyFill="1" applyBorder="1" applyAlignment="1">
      <alignment horizontal="center" vertical="center"/>
    </xf>
    <xf numFmtId="0" fontId="65" fillId="0" borderId="15" xfId="0" applyFont="1" applyFill="1" applyBorder="1" applyAlignment="1">
      <alignment horizontal="center" vertical="center" wrapText="1"/>
    </xf>
    <xf numFmtId="3" fontId="65" fillId="0" borderId="15" xfId="0" applyNumberFormat="1" applyFont="1" applyFill="1" applyBorder="1" applyAlignment="1">
      <alignment vertical="center"/>
    </xf>
    <xf numFmtId="3" fontId="65" fillId="0" borderId="15" xfId="0" applyNumberFormat="1" applyFont="1" applyFill="1" applyBorder="1" applyAlignment="1">
      <alignment horizontal="right" vertical="center"/>
    </xf>
    <xf numFmtId="218" fontId="65" fillId="0" borderId="15" xfId="0" applyNumberFormat="1" applyFont="1" applyFill="1" applyBorder="1" applyAlignment="1">
      <alignment horizontal="right" vertical="center"/>
    </xf>
    <xf numFmtId="218" fontId="65" fillId="0" borderId="15" xfId="0" applyNumberFormat="1" applyFont="1" applyFill="1" applyBorder="1" applyAlignment="1">
      <alignment vertical="center"/>
    </xf>
    <xf numFmtId="201" fontId="65" fillId="0" borderId="15" xfId="0" applyNumberFormat="1" applyFont="1" applyFill="1" applyBorder="1" applyAlignment="1">
      <alignment vertical="center"/>
    </xf>
    <xf numFmtId="201" fontId="65" fillId="0" borderId="15" xfId="0" applyNumberFormat="1" applyFont="1" applyFill="1" applyBorder="1" applyAlignment="1">
      <alignment horizontal="center" vertical="center"/>
    </xf>
    <xf numFmtId="0" fontId="65" fillId="0" borderId="0" xfId="0" applyFont="1" applyFill="1" applyBorder="1" applyAlignment="1">
      <alignment horizontal="left" vertical="center"/>
    </xf>
    <xf numFmtId="0" fontId="65" fillId="0" borderId="0" xfId="0" applyFont="1" applyFill="1" applyBorder="1" applyAlignment="1">
      <alignment horizontal="center" vertical="center"/>
    </xf>
    <xf numFmtId="0" fontId="24" fillId="0" borderId="15" xfId="0" applyFont="1" applyFill="1" applyBorder="1" applyAlignment="1">
      <alignment horizontal="center" vertical="center"/>
    </xf>
    <xf numFmtId="201" fontId="31" fillId="0" borderId="15" xfId="69" applyNumberFormat="1" applyFont="1" applyFill="1" applyBorder="1" applyAlignment="1">
      <alignment horizontal="left" vertical="center" wrapText="1"/>
      <protection/>
    </xf>
    <xf numFmtId="0" fontId="24" fillId="0" borderId="15" xfId="0" applyNumberFormat="1" applyFont="1" applyFill="1" applyBorder="1" applyAlignment="1">
      <alignment horizontal="center" vertical="center"/>
    </xf>
    <xf numFmtId="0" fontId="66" fillId="0" borderId="15" xfId="0" applyFont="1" applyFill="1" applyBorder="1" applyAlignment="1">
      <alignment horizontal="center" vertical="center"/>
    </xf>
    <xf numFmtId="0" fontId="66" fillId="0" borderId="15" xfId="0" applyFont="1" applyFill="1" applyBorder="1" applyAlignment="1">
      <alignment horizontal="center" vertical="center" wrapText="1"/>
    </xf>
    <xf numFmtId="3" fontId="66" fillId="0" borderId="15" xfId="0" applyNumberFormat="1" applyFont="1" applyFill="1" applyBorder="1" applyAlignment="1">
      <alignment vertical="center"/>
    </xf>
    <xf numFmtId="3" fontId="66" fillId="0" borderId="15" xfId="0" applyNumberFormat="1" applyFont="1" applyFill="1" applyBorder="1" applyAlignment="1">
      <alignment horizontal="right" vertical="center"/>
    </xf>
    <xf numFmtId="218" fontId="24" fillId="0" borderId="15" xfId="0" applyNumberFormat="1" applyFont="1" applyFill="1" applyBorder="1" applyAlignment="1">
      <alignment horizontal="right" vertical="center"/>
    </xf>
    <xf numFmtId="4" fontId="61" fillId="0" borderId="15" xfId="69" applyNumberFormat="1" applyFont="1" applyFill="1" applyBorder="1" applyAlignment="1">
      <alignment vertical="center" wrapText="1"/>
      <protection/>
    </xf>
    <xf numFmtId="0" fontId="65" fillId="0" borderId="15" xfId="0" applyNumberFormat="1" applyFont="1" applyFill="1" applyBorder="1" applyAlignment="1">
      <alignment horizontal="center" vertical="center"/>
    </xf>
    <xf numFmtId="0" fontId="66" fillId="0" borderId="15" xfId="0" applyNumberFormat="1" applyFont="1" applyFill="1" applyBorder="1" applyAlignment="1">
      <alignment horizontal="center" vertical="center"/>
    </xf>
    <xf numFmtId="0" fontId="24" fillId="0" borderId="15" xfId="0" applyFont="1" applyFill="1" applyBorder="1" applyAlignment="1">
      <alignment vertical="center" wrapText="1"/>
    </xf>
    <xf numFmtId="0" fontId="24" fillId="0" borderId="15" xfId="0" applyFont="1" applyFill="1" applyBorder="1" applyAlignment="1">
      <alignment horizontal="left" vertical="center" wrapText="1"/>
    </xf>
    <xf numFmtId="3" fontId="24" fillId="0" borderId="15" xfId="0" applyNumberFormat="1" applyFont="1" applyFill="1" applyBorder="1" applyAlignment="1">
      <alignment horizontal="center" vertical="center"/>
    </xf>
    <xf numFmtId="3" fontId="24" fillId="0" borderId="15" xfId="0" applyNumberFormat="1" applyFont="1" applyFill="1" applyBorder="1" applyAlignment="1">
      <alignment horizontal="center" vertical="center" wrapText="1"/>
    </xf>
    <xf numFmtId="3" fontId="24" fillId="0" borderId="15" xfId="0" applyNumberFormat="1" applyFont="1" applyFill="1" applyBorder="1" applyAlignment="1">
      <alignment vertical="center"/>
    </xf>
    <xf numFmtId="3" fontId="24" fillId="0" borderId="15" xfId="0" applyNumberFormat="1" applyFont="1" applyFill="1" applyBorder="1" applyAlignment="1">
      <alignment horizontal="right" vertical="center"/>
    </xf>
    <xf numFmtId="201" fontId="24" fillId="0" borderId="15" xfId="0" applyNumberFormat="1" applyFont="1" applyFill="1" applyBorder="1" applyAlignment="1">
      <alignment horizontal="right" vertical="center"/>
    </xf>
    <xf numFmtId="3" fontId="24" fillId="0" borderId="0" xfId="0" applyNumberFormat="1" applyFont="1" applyFill="1" applyBorder="1" applyAlignment="1">
      <alignment horizontal="left" vertical="center"/>
    </xf>
    <xf numFmtId="0" fontId="24" fillId="0" borderId="0" xfId="0" applyFont="1" applyFill="1" applyBorder="1" applyAlignment="1">
      <alignment vertical="center"/>
    </xf>
    <xf numFmtId="218" fontId="24" fillId="0" borderId="15" xfId="0" applyNumberFormat="1" applyFont="1" applyFill="1" applyBorder="1" applyAlignment="1">
      <alignment vertical="center"/>
    </xf>
    <xf numFmtId="218" fontId="31" fillId="0" borderId="15" xfId="69" applyNumberFormat="1" applyFont="1" applyFill="1" applyBorder="1" applyAlignment="1">
      <alignment vertical="center" wrapText="1"/>
      <protection/>
    </xf>
    <xf numFmtId="201" fontId="24" fillId="0" borderId="15" xfId="0" applyNumberFormat="1" applyFont="1" applyFill="1" applyBorder="1" applyAlignment="1">
      <alignment vertical="center"/>
    </xf>
    <xf numFmtId="0" fontId="24" fillId="0" borderId="0" xfId="0" applyFont="1" applyFill="1" applyBorder="1" applyAlignment="1">
      <alignment horizontal="left" vertical="center"/>
    </xf>
    <xf numFmtId="0" fontId="26" fillId="0" borderId="15" xfId="0" applyFont="1" applyFill="1" applyBorder="1" applyAlignment="1">
      <alignment horizontal="left" vertical="center" wrapText="1" shrinkToFit="1"/>
    </xf>
    <xf numFmtId="0" fontId="26" fillId="0" borderId="15" xfId="0" applyFont="1" applyFill="1" applyBorder="1" applyAlignment="1">
      <alignment horizontal="center" vertical="center" wrapText="1"/>
    </xf>
    <xf numFmtId="218" fontId="26" fillId="0" borderId="15" xfId="0" applyNumberFormat="1" applyFont="1" applyFill="1" applyBorder="1" applyAlignment="1">
      <alignment vertical="center"/>
    </xf>
    <xf numFmtId="201" fontId="26" fillId="0" borderId="15" xfId="0" applyNumberFormat="1" applyFont="1" applyFill="1" applyBorder="1" applyAlignment="1">
      <alignment vertical="center"/>
    </xf>
    <xf numFmtId="201" fontId="26" fillId="0" borderId="15" xfId="0" applyNumberFormat="1" applyFont="1" applyFill="1" applyBorder="1" applyAlignment="1">
      <alignment horizontal="center" vertical="center"/>
    </xf>
    <xf numFmtId="3" fontId="26" fillId="0" borderId="15" xfId="0" applyNumberFormat="1" applyFont="1" applyFill="1" applyBorder="1" applyAlignment="1">
      <alignment horizontal="center" vertical="center"/>
    </xf>
    <xf numFmtId="3" fontId="26" fillId="0" borderId="15" xfId="0" applyNumberFormat="1" applyFont="1" applyFill="1" applyBorder="1" applyAlignment="1">
      <alignment horizontal="center" vertical="center" wrapText="1"/>
    </xf>
    <xf numFmtId="3" fontId="26" fillId="0" borderId="15" xfId="0" applyNumberFormat="1" applyFont="1" applyFill="1" applyBorder="1" applyAlignment="1">
      <alignment vertical="center"/>
    </xf>
    <xf numFmtId="218" fontId="26" fillId="0" borderId="15" xfId="0" applyNumberFormat="1" applyFont="1" applyFill="1" applyBorder="1" applyAlignment="1">
      <alignment vertical="center"/>
    </xf>
    <xf numFmtId="201" fontId="26" fillId="0" borderId="15" xfId="0" applyNumberFormat="1" applyFont="1" applyFill="1" applyBorder="1" applyAlignment="1">
      <alignment vertical="center"/>
    </xf>
    <xf numFmtId="0" fontId="26" fillId="0" borderId="0" xfId="0" applyNumberFormat="1" applyFont="1" applyFill="1" applyBorder="1" applyAlignment="1">
      <alignment horizontal="left" vertical="center"/>
    </xf>
    <xf numFmtId="0" fontId="26" fillId="0" borderId="0" xfId="0" applyNumberFormat="1" applyFont="1" applyFill="1" applyBorder="1" applyAlignment="1">
      <alignment vertical="center"/>
    </xf>
    <xf numFmtId="0" fontId="26" fillId="0" borderId="15" xfId="0" applyNumberFormat="1" applyFont="1" applyFill="1" applyBorder="1" applyAlignment="1">
      <alignment horizontal="left" vertical="center" wrapText="1"/>
    </xf>
    <xf numFmtId="201" fontId="61" fillId="0" borderId="15" xfId="46" applyNumberFormat="1" applyFont="1" applyFill="1" applyBorder="1" applyAlignment="1">
      <alignment vertical="center" wrapText="1"/>
    </xf>
    <xf numFmtId="3" fontId="65" fillId="0" borderId="0" xfId="0" applyNumberFormat="1" applyFont="1" applyFill="1" applyBorder="1" applyAlignment="1">
      <alignment horizontal="left" vertical="center"/>
    </xf>
    <xf numFmtId="0" fontId="26" fillId="0" borderId="15" xfId="0" applyNumberFormat="1" applyFont="1" applyFill="1" applyBorder="1" applyAlignment="1">
      <alignment vertical="center" wrapText="1"/>
    </xf>
    <xf numFmtId="0" fontId="26" fillId="0" borderId="15" xfId="65" applyFont="1" applyFill="1" applyBorder="1" applyAlignment="1">
      <alignment horizontal="center" vertical="center"/>
      <protection/>
    </xf>
    <xf numFmtId="0" fontId="26" fillId="0" borderId="15" xfId="65" applyFont="1" applyFill="1" applyBorder="1" applyAlignment="1">
      <alignment horizontal="center" vertical="center" wrapText="1"/>
      <protection/>
    </xf>
    <xf numFmtId="3" fontId="26" fillId="0" borderId="15" xfId="65" applyNumberFormat="1" applyFont="1" applyFill="1" applyBorder="1" applyAlignment="1">
      <alignment vertical="center"/>
      <protection/>
    </xf>
    <xf numFmtId="3" fontId="26" fillId="0" borderId="15" xfId="65" applyNumberFormat="1" applyFont="1" applyFill="1" applyBorder="1" applyAlignment="1">
      <alignment horizontal="right" vertical="center"/>
      <protection/>
    </xf>
    <xf numFmtId="49" fontId="26" fillId="0" borderId="15" xfId="0" applyNumberFormat="1" applyFont="1" applyFill="1" applyBorder="1" applyAlignment="1">
      <alignment horizontal="center" vertical="center"/>
    </xf>
    <xf numFmtId="49" fontId="26" fillId="0" borderId="15" xfId="0" applyNumberFormat="1" applyFont="1" applyFill="1" applyBorder="1" applyAlignment="1">
      <alignment horizontal="center" vertical="center" wrapText="1"/>
    </xf>
    <xf numFmtId="3" fontId="24" fillId="0" borderId="0" xfId="0" applyNumberFormat="1" applyFont="1" applyFill="1" applyBorder="1" applyAlignment="1">
      <alignment horizontal="center" vertical="center"/>
    </xf>
    <xf numFmtId="3" fontId="65" fillId="0" borderId="15" xfId="0" applyNumberFormat="1" applyFont="1" applyFill="1" applyBorder="1" applyAlignment="1">
      <alignment horizontal="center" vertical="center"/>
    </xf>
    <xf numFmtId="0" fontId="26" fillId="0" borderId="15" xfId="0" applyFont="1" applyFill="1" applyBorder="1" applyAlignment="1">
      <alignment vertical="center" wrapText="1"/>
    </xf>
    <xf numFmtId="218" fontId="65" fillId="0" borderId="15" xfId="65" applyNumberFormat="1" applyFont="1" applyFill="1" applyBorder="1" applyAlignment="1">
      <alignment horizontal="right" vertical="center"/>
      <protection/>
    </xf>
    <xf numFmtId="201" fontId="67" fillId="0" borderId="15" xfId="0" applyNumberFormat="1" applyFont="1" applyFill="1" applyBorder="1" applyAlignment="1">
      <alignment vertical="center"/>
    </xf>
    <xf numFmtId="3" fontId="66" fillId="0" borderId="0" xfId="0" applyNumberFormat="1" applyFont="1" applyFill="1" applyBorder="1" applyAlignment="1">
      <alignment horizontal="left" vertical="center"/>
    </xf>
    <xf numFmtId="3" fontId="66" fillId="0" borderId="0" xfId="0" applyNumberFormat="1" applyFont="1" applyFill="1" applyBorder="1" applyAlignment="1">
      <alignment horizontal="center" vertical="center"/>
    </xf>
    <xf numFmtId="3" fontId="65" fillId="0" borderId="0" xfId="0" applyNumberFormat="1" applyFont="1" applyFill="1" applyBorder="1" applyAlignment="1">
      <alignment horizontal="center" vertical="center"/>
    </xf>
    <xf numFmtId="0" fontId="24" fillId="0" borderId="15" xfId="0" applyNumberFormat="1" applyFont="1" applyFill="1" applyBorder="1" applyAlignment="1">
      <alignment vertical="center" wrapText="1"/>
    </xf>
    <xf numFmtId="0" fontId="24" fillId="0" borderId="15" xfId="65" applyNumberFormat="1" applyFont="1" applyFill="1" applyBorder="1" applyAlignment="1">
      <alignment horizontal="center" vertical="center"/>
      <protection/>
    </xf>
    <xf numFmtId="0" fontId="24" fillId="0" borderId="15" xfId="65" applyNumberFormat="1" applyFont="1" applyFill="1" applyBorder="1" applyAlignment="1">
      <alignment horizontal="center" vertical="center" wrapText="1"/>
      <protection/>
    </xf>
    <xf numFmtId="3" fontId="24" fillId="0" borderId="15" xfId="65" applyNumberFormat="1" applyFont="1" applyFill="1" applyBorder="1" applyAlignment="1">
      <alignment vertical="center"/>
      <protection/>
    </xf>
    <xf numFmtId="3" fontId="24" fillId="0" borderId="15" xfId="65" applyNumberFormat="1" applyFont="1" applyFill="1" applyBorder="1" applyAlignment="1">
      <alignment horizontal="right" vertical="center"/>
      <protection/>
    </xf>
    <xf numFmtId="0" fontId="26" fillId="0" borderId="15" xfId="65" applyNumberFormat="1" applyFont="1" applyFill="1" applyBorder="1" applyAlignment="1">
      <alignment horizontal="center" vertical="center"/>
      <protection/>
    </xf>
    <xf numFmtId="0" fontId="26" fillId="0" borderId="15" xfId="65" applyNumberFormat="1" applyFont="1" applyFill="1" applyBorder="1" applyAlignment="1">
      <alignment horizontal="center" vertical="center" wrapText="1"/>
      <protection/>
    </xf>
    <xf numFmtId="201" fontId="28" fillId="0" borderId="15" xfId="0" applyNumberFormat="1" applyFont="1" applyFill="1" applyBorder="1" applyAlignment="1">
      <alignment vertical="center"/>
    </xf>
    <xf numFmtId="0" fontId="28" fillId="0" borderId="0" xfId="0" applyFont="1" applyFill="1" applyBorder="1" applyAlignment="1">
      <alignment horizontal="left" vertical="center" wrapText="1"/>
    </xf>
    <xf numFmtId="0" fontId="28" fillId="0" borderId="0" xfId="0" applyFont="1" applyFill="1" applyBorder="1" applyAlignment="1">
      <alignment vertical="center"/>
    </xf>
    <xf numFmtId="0" fontId="67" fillId="0" borderId="0" xfId="0" applyFont="1" applyFill="1" applyBorder="1" applyAlignment="1">
      <alignment horizontal="left" vertical="center"/>
    </xf>
    <xf numFmtId="0" fontId="67" fillId="0" borderId="0" xfId="0" applyFont="1" applyFill="1" applyBorder="1" applyAlignment="1">
      <alignment vertical="center"/>
    </xf>
    <xf numFmtId="201" fontId="25" fillId="0" borderId="15" xfId="69" applyNumberFormat="1" applyFont="1" applyFill="1" applyBorder="1" applyAlignment="1">
      <alignment vertical="center" wrapText="1"/>
      <protection/>
    </xf>
    <xf numFmtId="3" fontId="62" fillId="0" borderId="15" xfId="0" applyNumberFormat="1" applyFont="1" applyFill="1" applyBorder="1" applyAlignment="1">
      <alignment horizontal="center" vertical="center"/>
    </xf>
    <xf numFmtId="3" fontId="62" fillId="0" borderId="15" xfId="0" applyNumberFormat="1" applyFont="1" applyFill="1" applyBorder="1" applyAlignment="1">
      <alignment horizontal="center" vertical="center" wrapText="1"/>
    </xf>
    <xf numFmtId="3" fontId="62" fillId="0" borderId="15" xfId="0" applyNumberFormat="1" applyFont="1" applyFill="1" applyBorder="1" applyAlignment="1">
      <alignment horizontal="right" vertical="center"/>
    </xf>
    <xf numFmtId="0" fontId="62" fillId="0" borderId="0" xfId="0" applyFont="1" applyFill="1" applyBorder="1" applyAlignment="1">
      <alignment vertical="center"/>
    </xf>
    <xf numFmtId="201" fontId="65" fillId="0" borderId="15" xfId="0" applyNumberFormat="1" applyFont="1" applyFill="1" applyBorder="1" applyAlignment="1">
      <alignment horizontal="right" vertical="center"/>
    </xf>
    <xf numFmtId="0" fontId="65" fillId="0" borderId="0" xfId="0" applyFont="1" applyFill="1" applyBorder="1" applyAlignment="1">
      <alignment horizontal="left" vertical="center" wrapText="1"/>
    </xf>
    <xf numFmtId="0" fontId="65" fillId="0" borderId="0" xfId="0" applyNumberFormat="1" applyFont="1" applyFill="1" applyBorder="1" applyAlignment="1">
      <alignment horizontal="left" vertical="center" wrapText="1"/>
    </xf>
    <xf numFmtId="0" fontId="26" fillId="0" borderId="0" xfId="0" applyNumberFormat="1" applyFont="1" applyFill="1" applyBorder="1" applyAlignment="1">
      <alignment horizontal="left" vertical="center" wrapText="1"/>
    </xf>
    <xf numFmtId="0" fontId="26" fillId="0" borderId="15" xfId="0" applyNumberFormat="1" applyFont="1" applyFill="1" applyBorder="1" applyAlignment="1">
      <alignment horizontal="center" vertical="center" wrapText="1"/>
    </xf>
    <xf numFmtId="218" fontId="61" fillId="0" borderId="0" xfId="69" applyNumberFormat="1" applyFont="1" applyFill="1" applyBorder="1" applyAlignment="1">
      <alignment vertical="center" wrapText="1"/>
      <protection/>
    </xf>
    <xf numFmtId="201" fontId="61" fillId="0" borderId="0" xfId="69" applyNumberFormat="1" applyFont="1" applyFill="1" applyBorder="1" applyAlignment="1">
      <alignment vertical="center" wrapText="1"/>
      <protection/>
    </xf>
    <xf numFmtId="0" fontId="26" fillId="4" borderId="15" xfId="0" applyFont="1" applyFill="1" applyBorder="1" applyAlignment="1">
      <alignment horizontal="left" vertical="center" wrapText="1" shrinkToFit="1"/>
    </xf>
    <xf numFmtId="0" fontId="26" fillId="4" borderId="15" xfId="0" applyNumberFormat="1" applyFont="1" applyFill="1" applyBorder="1" applyAlignment="1">
      <alignment horizontal="center" vertical="center"/>
    </xf>
    <xf numFmtId="0" fontId="26" fillId="4" borderId="15" xfId="0" applyFont="1" applyFill="1" applyBorder="1" applyAlignment="1">
      <alignment horizontal="center" vertical="center"/>
    </xf>
    <xf numFmtId="0" fontId="26" fillId="4" borderId="15" xfId="0" applyFont="1" applyFill="1" applyBorder="1" applyAlignment="1">
      <alignment horizontal="center" vertical="center" wrapText="1"/>
    </xf>
    <xf numFmtId="3" fontId="26" fillId="4" borderId="15" xfId="0" applyNumberFormat="1" applyFont="1" applyFill="1" applyBorder="1" applyAlignment="1">
      <alignment vertical="center"/>
    </xf>
    <xf numFmtId="3" fontId="26" fillId="4" borderId="15" xfId="0" applyNumberFormat="1" applyFont="1" applyFill="1" applyBorder="1" applyAlignment="1">
      <alignment horizontal="right" vertical="center"/>
    </xf>
    <xf numFmtId="218" fontId="26" fillId="4" borderId="15" xfId="0" applyNumberFormat="1" applyFont="1" applyFill="1" applyBorder="1" applyAlignment="1">
      <alignment horizontal="right" vertical="center"/>
    </xf>
    <xf numFmtId="218" fontId="65" fillId="4" borderId="15" xfId="0" applyNumberFormat="1" applyFont="1" applyFill="1" applyBorder="1" applyAlignment="1">
      <alignment horizontal="right" vertical="center"/>
    </xf>
    <xf numFmtId="218" fontId="61" fillId="4" borderId="15" xfId="69" applyNumberFormat="1" applyFont="1" applyFill="1" applyBorder="1" applyAlignment="1">
      <alignment vertical="center" wrapText="1"/>
      <protection/>
    </xf>
    <xf numFmtId="218" fontId="65" fillId="4" borderId="15" xfId="0" applyNumberFormat="1" applyFont="1" applyFill="1" applyBorder="1" applyAlignment="1">
      <alignment vertical="center"/>
    </xf>
    <xf numFmtId="3" fontId="65" fillId="4" borderId="15" xfId="0" applyNumberFormat="1" applyFont="1" applyFill="1" applyBorder="1" applyAlignment="1">
      <alignment vertical="center"/>
    </xf>
    <xf numFmtId="0" fontId="65" fillId="0" borderId="0" xfId="0" applyFont="1" applyFill="1" applyBorder="1" applyAlignment="1">
      <alignment horizontal="left" vertical="center" wrapText="1" shrinkToFit="1"/>
    </xf>
    <xf numFmtId="0" fontId="26" fillId="0" borderId="0" xfId="0" applyFont="1" applyFill="1" applyBorder="1" applyAlignment="1">
      <alignment horizontal="left" vertical="center" wrapText="1" shrinkToFit="1"/>
    </xf>
    <xf numFmtId="0" fontId="65" fillId="0" borderId="0" xfId="0" applyNumberFormat="1" applyFont="1" applyFill="1" applyBorder="1" applyAlignment="1">
      <alignment horizontal="left" vertical="center" wrapText="1" shrinkToFit="1"/>
    </xf>
    <xf numFmtId="0" fontId="26" fillId="0" borderId="15" xfId="0" applyFont="1" applyFill="1" applyBorder="1" applyAlignment="1">
      <alignment horizontal="left" vertical="center" shrinkToFit="1"/>
    </xf>
    <xf numFmtId="0" fontId="65" fillId="0" borderId="0" xfId="65" applyFont="1" applyFill="1" applyBorder="1" applyAlignment="1">
      <alignment horizontal="left" vertical="center" wrapText="1"/>
      <protection/>
    </xf>
    <xf numFmtId="0" fontId="26" fillId="0" borderId="15" xfId="65" applyFont="1" applyFill="1" applyBorder="1" applyAlignment="1">
      <alignment vertical="center" wrapText="1"/>
      <protection/>
    </xf>
    <xf numFmtId="3" fontId="26" fillId="0" borderId="15" xfId="65" applyNumberFormat="1" applyFont="1" applyFill="1" applyBorder="1" applyAlignment="1">
      <alignment horizontal="center" vertical="center"/>
      <protection/>
    </xf>
    <xf numFmtId="1" fontId="26" fillId="0" borderId="15" xfId="65" applyNumberFormat="1" applyFont="1" applyFill="1" applyBorder="1" applyAlignment="1">
      <alignment horizontal="center" vertical="center"/>
      <protection/>
    </xf>
    <xf numFmtId="3" fontId="26" fillId="0" borderId="15" xfId="65" applyNumberFormat="1" applyFont="1" applyFill="1" applyBorder="1" applyAlignment="1">
      <alignment horizontal="center" vertical="center" wrapText="1"/>
      <protection/>
    </xf>
    <xf numFmtId="201" fontId="65" fillId="0" borderId="15" xfId="65" applyNumberFormat="1" applyFont="1" applyFill="1" applyBorder="1" applyAlignment="1">
      <alignment horizontal="right" vertical="center"/>
      <protection/>
    </xf>
    <xf numFmtId="0" fontId="66" fillId="0" borderId="0" xfId="0" applyFont="1" applyFill="1" applyBorder="1" applyAlignment="1">
      <alignment horizontal="center" vertical="center"/>
    </xf>
    <xf numFmtId="0" fontId="26" fillId="0" borderId="15" xfId="0" applyNumberFormat="1" applyFont="1" applyFill="1" applyBorder="1" applyAlignment="1">
      <alignment horizontal="left" vertical="center" wrapText="1" shrinkToFit="1"/>
    </xf>
    <xf numFmtId="0" fontId="24" fillId="0" borderId="0" xfId="0" applyNumberFormat="1" applyFont="1" applyFill="1" applyBorder="1" applyAlignment="1">
      <alignment vertical="center"/>
    </xf>
    <xf numFmtId="0" fontId="24" fillId="0" borderId="0" xfId="0" applyNumberFormat="1" applyFont="1" applyFill="1" applyBorder="1" applyAlignment="1">
      <alignment horizontal="left" vertical="center"/>
    </xf>
    <xf numFmtId="0" fontId="26" fillId="0" borderId="0" xfId="0" applyFont="1" applyFill="1" applyBorder="1" applyAlignment="1">
      <alignment horizontal="left" vertical="center"/>
    </xf>
    <xf numFmtId="0" fontId="26" fillId="4" borderId="15" xfId="70" applyFont="1" applyFill="1" applyBorder="1" applyAlignment="1">
      <alignment vertical="center" wrapText="1"/>
      <protection/>
    </xf>
    <xf numFmtId="49" fontId="26" fillId="4" borderId="15" xfId="0" applyNumberFormat="1" applyFont="1" applyFill="1" applyBorder="1" applyAlignment="1">
      <alignment horizontal="center" vertical="center"/>
    </xf>
    <xf numFmtId="0" fontId="26" fillId="4" borderId="15" xfId="0" applyNumberFormat="1" applyFont="1" applyFill="1" applyBorder="1" applyAlignment="1">
      <alignment horizontal="center" vertical="center" wrapText="1"/>
    </xf>
    <xf numFmtId="218" fontId="26" fillId="4" borderId="15" xfId="0" applyNumberFormat="1" applyFont="1" applyFill="1" applyBorder="1" applyAlignment="1">
      <alignment horizontal="right" vertical="center"/>
    </xf>
    <xf numFmtId="218" fontId="26" fillId="4" borderId="15" xfId="0" applyNumberFormat="1" applyFont="1" applyFill="1" applyBorder="1" applyAlignment="1">
      <alignment vertical="center"/>
    </xf>
    <xf numFmtId="0" fontId="65" fillId="0" borderId="0" xfId="0" applyFont="1" applyFill="1" applyBorder="1" applyAlignment="1">
      <alignment vertical="center"/>
    </xf>
    <xf numFmtId="0" fontId="24" fillId="0" borderId="15" xfId="0" applyNumberFormat="1" applyFont="1" applyFill="1" applyBorder="1" applyAlignment="1">
      <alignment horizontal="left" vertical="center" wrapText="1"/>
    </xf>
    <xf numFmtId="3" fontId="66" fillId="0" borderId="15" xfId="0" applyNumberFormat="1" applyFont="1" applyFill="1" applyBorder="1" applyAlignment="1">
      <alignment horizontal="center" vertical="center"/>
    </xf>
    <xf numFmtId="3" fontId="66" fillId="0" borderId="15" xfId="0" applyNumberFormat="1" applyFont="1" applyFill="1" applyBorder="1" applyAlignment="1">
      <alignment horizontal="center" vertical="center" wrapText="1"/>
    </xf>
    <xf numFmtId="201" fontId="66" fillId="0" borderId="15" xfId="0" applyNumberFormat="1" applyFont="1" applyFill="1" applyBorder="1" applyAlignment="1">
      <alignment horizontal="right" vertical="center"/>
    </xf>
    <xf numFmtId="0" fontId="66" fillId="0" borderId="0" xfId="0" applyNumberFormat="1" applyFont="1" applyFill="1" applyBorder="1" applyAlignment="1">
      <alignment horizontal="left" vertical="center"/>
    </xf>
    <xf numFmtId="0" fontId="66" fillId="0" borderId="0" xfId="0" applyNumberFormat="1" applyFont="1" applyFill="1" applyBorder="1" applyAlignment="1">
      <alignment vertical="center"/>
    </xf>
    <xf numFmtId="3" fontId="66" fillId="0" borderId="15" xfId="0" applyNumberFormat="1" applyFont="1" applyFill="1" applyBorder="1" applyAlignment="1">
      <alignment horizontal="center" vertical="center"/>
    </xf>
    <xf numFmtId="3" fontId="66" fillId="0" borderId="15" xfId="0" applyNumberFormat="1" applyFont="1" applyFill="1" applyBorder="1" applyAlignment="1">
      <alignment horizontal="center" vertical="center" wrapText="1"/>
    </xf>
    <xf numFmtId="3" fontId="66" fillId="0" borderId="15" xfId="0" applyNumberFormat="1" applyFont="1" applyFill="1" applyBorder="1" applyAlignment="1">
      <alignment vertical="center"/>
    </xf>
    <xf numFmtId="3" fontId="66" fillId="0" borderId="15" xfId="0" applyNumberFormat="1" applyFont="1" applyFill="1" applyBorder="1" applyAlignment="1">
      <alignment horizontal="right" vertical="center"/>
    </xf>
    <xf numFmtId="0" fontId="66" fillId="0" borderId="0" xfId="0" applyNumberFormat="1" applyFont="1" applyFill="1" applyBorder="1" applyAlignment="1">
      <alignment vertical="center"/>
    </xf>
    <xf numFmtId="0" fontId="26" fillId="0" borderId="15" xfId="0" applyFont="1" applyFill="1" applyBorder="1" applyAlignment="1">
      <alignment horizontal="left" vertical="center" wrapText="1"/>
    </xf>
    <xf numFmtId="3" fontId="65" fillId="0" borderId="15" xfId="0" applyNumberFormat="1" applyFont="1" applyFill="1" applyBorder="1" applyAlignment="1">
      <alignment horizontal="center" vertical="center"/>
    </xf>
    <xf numFmtId="3" fontId="65" fillId="0" borderId="15" xfId="0" applyNumberFormat="1" applyFont="1" applyFill="1" applyBorder="1" applyAlignment="1">
      <alignment horizontal="center" vertical="center" wrapText="1"/>
    </xf>
    <xf numFmtId="201" fontId="66" fillId="0" borderId="15" xfId="0" applyNumberFormat="1" applyFont="1" applyFill="1" applyBorder="1" applyAlignment="1">
      <alignment vertical="center"/>
    </xf>
    <xf numFmtId="0" fontId="66" fillId="0" borderId="0" xfId="0" applyNumberFormat="1" applyFont="1" applyFill="1" applyBorder="1" applyAlignment="1">
      <alignment horizontal="left" vertical="center"/>
    </xf>
    <xf numFmtId="49" fontId="26" fillId="0" borderId="15" xfId="65" applyNumberFormat="1" applyFont="1" applyFill="1" applyBorder="1" applyAlignment="1">
      <alignment horizontal="center" vertical="center"/>
      <protection/>
    </xf>
    <xf numFmtId="0" fontId="67" fillId="0" borderId="0" xfId="0" applyNumberFormat="1" applyFont="1" applyFill="1" applyBorder="1" applyAlignment="1">
      <alignment horizontal="left" vertical="center"/>
    </xf>
    <xf numFmtId="0" fontId="67" fillId="0" borderId="0" xfId="0" applyNumberFormat="1" applyFont="1" applyFill="1" applyBorder="1" applyAlignment="1">
      <alignment vertical="center"/>
    </xf>
    <xf numFmtId="0" fontId="26" fillId="0" borderId="0" xfId="0" applyFont="1" applyFill="1" applyBorder="1" applyAlignment="1">
      <alignment horizontal="left" vertical="center" wrapText="1"/>
    </xf>
    <xf numFmtId="0" fontId="26" fillId="0" borderId="15" xfId="16" applyFont="1" applyFill="1" applyBorder="1" applyAlignment="1">
      <alignment vertical="center" wrapText="1"/>
      <protection/>
    </xf>
    <xf numFmtId="201" fontId="25" fillId="0" borderId="15" xfId="46" applyNumberFormat="1" applyFont="1" applyFill="1" applyBorder="1" applyAlignment="1">
      <alignment vertical="center" wrapText="1"/>
    </xf>
    <xf numFmtId="0" fontId="28" fillId="0" borderId="15" xfId="0" applyFont="1" applyFill="1" applyBorder="1" applyAlignment="1">
      <alignment horizontal="center" vertical="center"/>
    </xf>
    <xf numFmtId="3" fontId="28" fillId="0" borderId="15" xfId="0" applyNumberFormat="1" applyFont="1" applyFill="1" applyBorder="1" applyAlignment="1">
      <alignment horizontal="center" vertical="center"/>
    </xf>
    <xf numFmtId="3" fontId="28" fillId="0" borderId="15" xfId="0" applyNumberFormat="1" applyFont="1" applyFill="1" applyBorder="1" applyAlignment="1">
      <alignment horizontal="center" vertical="center" wrapText="1"/>
    </xf>
    <xf numFmtId="3" fontId="28" fillId="0" borderId="15" xfId="0" applyNumberFormat="1" applyFont="1" applyFill="1" applyBorder="1" applyAlignment="1">
      <alignment vertical="center"/>
    </xf>
    <xf numFmtId="3" fontId="28" fillId="0" borderId="15" xfId="0" applyNumberFormat="1" applyFont="1" applyFill="1" applyBorder="1" applyAlignment="1">
      <alignment horizontal="right" vertical="center"/>
    </xf>
    <xf numFmtId="201" fontId="62" fillId="0" borderId="15" xfId="0" applyNumberFormat="1" applyFont="1" applyFill="1" applyBorder="1" applyAlignment="1">
      <alignment vertical="center"/>
    </xf>
    <xf numFmtId="3" fontId="26" fillId="0" borderId="0" xfId="0" applyNumberFormat="1" applyFont="1" applyFill="1" applyBorder="1" applyAlignment="1">
      <alignment horizontal="left" vertical="center"/>
    </xf>
    <xf numFmtId="3" fontId="26" fillId="0" borderId="0" xfId="0" applyNumberFormat="1" applyFont="1" applyFill="1" applyBorder="1" applyAlignment="1">
      <alignment horizontal="center" vertical="center"/>
    </xf>
    <xf numFmtId="3" fontId="26" fillId="0" borderId="15" xfId="0" applyNumberFormat="1" applyFont="1" applyFill="1" applyBorder="1" applyAlignment="1">
      <alignment vertical="center" wrapText="1"/>
    </xf>
    <xf numFmtId="14" fontId="26" fillId="0" borderId="15" xfId="65" applyNumberFormat="1" applyFont="1" applyFill="1" applyBorder="1" applyAlignment="1">
      <alignment horizontal="center" vertical="center" wrapText="1"/>
      <protection/>
    </xf>
    <xf numFmtId="0" fontId="26" fillId="0" borderId="0" xfId="0" applyNumberFormat="1" applyFont="1" applyFill="1" applyBorder="1" applyAlignment="1">
      <alignment horizontal="left" vertical="center"/>
    </xf>
    <xf numFmtId="0" fontId="26" fillId="0" borderId="0" xfId="0" applyNumberFormat="1" applyFont="1" applyFill="1" applyBorder="1" applyAlignment="1">
      <alignment vertical="center"/>
    </xf>
    <xf numFmtId="0" fontId="65" fillId="0" borderId="0" xfId="0" applyNumberFormat="1" applyFont="1" applyFill="1" applyBorder="1" applyAlignment="1">
      <alignment vertical="center"/>
    </xf>
    <xf numFmtId="0" fontId="66" fillId="4" borderId="15" xfId="0" applyFont="1" applyFill="1" applyBorder="1" applyAlignment="1">
      <alignment horizontal="center" vertical="center"/>
    </xf>
    <xf numFmtId="0" fontId="26" fillId="4" borderId="15" xfId="0" applyNumberFormat="1" applyFont="1" applyFill="1" applyBorder="1" applyAlignment="1">
      <alignment horizontal="left" vertical="center" wrapText="1"/>
    </xf>
    <xf numFmtId="0" fontId="26" fillId="4" borderId="15" xfId="0" applyNumberFormat="1" applyFont="1" applyFill="1" applyBorder="1" applyAlignment="1">
      <alignment horizontal="center" vertical="center"/>
    </xf>
    <xf numFmtId="49" fontId="26" fillId="4" borderId="15" xfId="0" applyNumberFormat="1" applyFont="1" applyFill="1" applyBorder="1" applyAlignment="1">
      <alignment horizontal="center" vertical="center"/>
    </xf>
    <xf numFmtId="0" fontId="26" fillId="4" borderId="15" xfId="0" applyFont="1" applyFill="1" applyBorder="1" applyAlignment="1">
      <alignment horizontal="center" vertical="center" wrapText="1"/>
    </xf>
    <xf numFmtId="3" fontId="26" fillId="4" borderId="15" xfId="0" applyNumberFormat="1" applyFont="1" applyFill="1" applyBorder="1" applyAlignment="1">
      <alignment vertical="center"/>
    </xf>
    <xf numFmtId="3" fontId="26" fillId="4" borderId="15" xfId="0" applyNumberFormat="1" applyFont="1" applyFill="1" applyBorder="1" applyAlignment="1">
      <alignment horizontal="right" vertical="center"/>
    </xf>
    <xf numFmtId="201" fontId="26" fillId="4" borderId="15" xfId="0" applyNumberFormat="1" applyFont="1" applyFill="1" applyBorder="1" applyAlignment="1">
      <alignment horizontal="right" vertical="center"/>
    </xf>
    <xf numFmtId="201" fontId="65" fillId="4" borderId="15" xfId="0" applyNumberFormat="1" applyFont="1" applyFill="1" applyBorder="1" applyAlignment="1">
      <alignment vertical="center"/>
    </xf>
    <xf numFmtId="201" fontId="61" fillId="4" borderId="15" xfId="69" applyNumberFormat="1" applyFont="1" applyFill="1" applyBorder="1" applyAlignment="1">
      <alignment vertical="center" wrapText="1"/>
      <protection/>
    </xf>
    <xf numFmtId="0" fontId="65" fillId="4" borderId="0" xfId="0" applyNumberFormat="1" applyFont="1" applyFill="1" applyBorder="1" applyAlignment="1">
      <alignment horizontal="left" vertical="center"/>
    </xf>
    <xf numFmtId="0" fontId="65" fillId="4" borderId="0" xfId="0" applyNumberFormat="1" applyFont="1" applyFill="1" applyBorder="1" applyAlignment="1">
      <alignment vertical="center"/>
    </xf>
    <xf numFmtId="0" fontId="26" fillId="0" borderId="15" xfId="0" applyNumberFormat="1" applyFont="1" applyFill="1" applyBorder="1" applyAlignment="1">
      <alignment horizontal="left" vertical="center" wrapText="1"/>
    </xf>
    <xf numFmtId="49" fontId="26" fillId="0" borderId="15" xfId="0" applyNumberFormat="1" applyFont="1" applyFill="1" applyBorder="1" applyAlignment="1">
      <alignment horizontal="center" vertical="center"/>
    </xf>
    <xf numFmtId="0" fontId="26" fillId="0" borderId="15" xfId="0" applyFont="1" applyFill="1" applyBorder="1" applyAlignment="1">
      <alignment horizontal="center" vertical="center" wrapText="1"/>
    </xf>
    <xf numFmtId="1" fontId="26" fillId="0" borderId="15" xfId="64" applyNumberFormat="1" applyFont="1" applyFill="1" applyBorder="1" applyAlignment="1">
      <alignment vertical="center" wrapText="1"/>
      <protection/>
    </xf>
    <xf numFmtId="1" fontId="26" fillId="0" borderId="15" xfId="0" applyNumberFormat="1" applyFont="1" applyFill="1" applyBorder="1" applyAlignment="1">
      <alignment horizontal="center" vertical="center" wrapText="1"/>
    </xf>
    <xf numFmtId="0" fontId="28" fillId="0" borderId="0" xfId="0" applyNumberFormat="1" applyFont="1" applyFill="1" applyBorder="1" applyAlignment="1">
      <alignment vertical="center"/>
    </xf>
    <xf numFmtId="201" fontId="66" fillId="0" borderId="15" xfId="0" applyNumberFormat="1" applyFont="1" applyFill="1" applyBorder="1" applyAlignment="1">
      <alignment horizontal="center" vertical="center"/>
    </xf>
    <xf numFmtId="0" fontId="28" fillId="0" borderId="15" xfId="0" applyNumberFormat="1" applyFont="1" applyFill="1" applyBorder="1" applyAlignment="1">
      <alignment horizontal="center" vertical="center"/>
    </xf>
    <xf numFmtId="49" fontId="28" fillId="0" borderId="15" xfId="0" applyNumberFormat="1" applyFont="1" applyFill="1" applyBorder="1" applyAlignment="1">
      <alignment horizontal="center" vertical="center"/>
    </xf>
    <xf numFmtId="0" fontId="28" fillId="0" borderId="15" xfId="0" applyFont="1" applyFill="1" applyBorder="1" applyAlignment="1">
      <alignment horizontal="center" vertical="center" wrapText="1"/>
    </xf>
    <xf numFmtId="0" fontId="26" fillId="0" borderId="15" xfId="0" applyNumberFormat="1" applyFont="1" applyFill="1" applyBorder="1" applyAlignment="1">
      <alignment horizontal="left" vertical="center" shrinkToFit="1"/>
    </xf>
    <xf numFmtId="201" fontId="24" fillId="0" borderId="15" xfId="0" applyNumberFormat="1" applyFont="1" applyFill="1" applyBorder="1" applyAlignment="1">
      <alignment horizontal="center" vertical="center"/>
    </xf>
    <xf numFmtId="3" fontId="65" fillId="0" borderId="0" xfId="0" applyNumberFormat="1" applyFont="1" applyFill="1" applyBorder="1" applyAlignment="1">
      <alignment horizontal="left" vertical="center"/>
    </xf>
    <xf numFmtId="0" fontId="24" fillId="0" borderId="15" xfId="0" applyNumberFormat="1" applyFont="1" applyFill="1" applyBorder="1" applyAlignment="1">
      <alignment horizontal="left" vertical="center" wrapText="1"/>
    </xf>
    <xf numFmtId="0" fontId="24" fillId="0" borderId="15" xfId="0" applyNumberFormat="1" applyFont="1" applyFill="1" applyBorder="1" applyAlignment="1">
      <alignment horizontal="center" vertical="center"/>
    </xf>
    <xf numFmtId="49" fontId="24" fillId="0" borderId="15" xfId="0" applyNumberFormat="1" applyFont="1" applyFill="1" applyBorder="1" applyAlignment="1">
      <alignment horizontal="center" vertical="center"/>
    </xf>
    <xf numFmtId="0" fontId="24" fillId="0" borderId="15" xfId="0" applyFont="1" applyFill="1" applyBorder="1" applyAlignment="1">
      <alignment horizontal="center" vertical="center" wrapText="1"/>
    </xf>
    <xf numFmtId="199" fontId="24" fillId="0" borderId="15" xfId="64" applyNumberFormat="1" applyFont="1" applyFill="1" applyBorder="1" applyAlignment="1">
      <alignment horizontal="left" vertical="center" shrinkToFit="1"/>
      <protection/>
    </xf>
    <xf numFmtId="49" fontId="24" fillId="0" borderId="15" xfId="0" applyNumberFormat="1" applyFont="1" applyFill="1" applyBorder="1" applyAlignment="1">
      <alignment horizontal="center" vertical="center"/>
    </xf>
    <xf numFmtId="0" fontId="24" fillId="0" borderId="15" xfId="0" applyFont="1" applyFill="1" applyBorder="1" applyAlignment="1">
      <alignment horizontal="center" vertical="center" wrapText="1"/>
    </xf>
    <xf numFmtId="3" fontId="24" fillId="0" borderId="15" xfId="64" applyNumberFormat="1" applyFont="1" applyFill="1" applyBorder="1" applyAlignment="1" quotePrefix="1">
      <alignment vertical="center" wrapText="1"/>
      <protection/>
    </xf>
    <xf numFmtId="199" fontId="26" fillId="0" borderId="15" xfId="64" applyNumberFormat="1" applyFont="1" applyFill="1" applyBorder="1" applyAlignment="1">
      <alignment horizontal="left" vertical="center" wrapText="1"/>
      <protection/>
    </xf>
    <xf numFmtId="3" fontId="26" fillId="0" borderId="15" xfId="64" applyNumberFormat="1" applyFont="1" applyFill="1" applyBorder="1" applyAlignment="1" quotePrefix="1">
      <alignment vertical="center" wrapText="1"/>
      <protection/>
    </xf>
    <xf numFmtId="1" fontId="24" fillId="0" borderId="15" xfId="0" applyNumberFormat="1" applyFont="1" applyFill="1" applyBorder="1" applyAlignment="1">
      <alignment horizontal="center" vertical="center"/>
    </xf>
    <xf numFmtId="1" fontId="24" fillId="0" borderId="15" xfId="0" applyNumberFormat="1" applyFont="1" applyFill="1" applyBorder="1" applyAlignment="1">
      <alignment horizontal="center" vertical="center"/>
    </xf>
    <xf numFmtId="220" fontId="26" fillId="0" borderId="15" xfId="0" applyNumberFormat="1" applyFont="1" applyFill="1" applyBorder="1" applyAlignment="1">
      <alignment horizontal="right" vertical="center"/>
    </xf>
    <xf numFmtId="4" fontId="26" fillId="0" borderId="15" xfId="0" applyNumberFormat="1" applyFont="1" applyFill="1" applyBorder="1" applyAlignment="1">
      <alignment horizontal="right" vertical="center"/>
    </xf>
    <xf numFmtId="220" fontId="61" fillId="0" borderId="15" xfId="69" applyNumberFormat="1" applyFont="1" applyFill="1" applyBorder="1" applyAlignment="1">
      <alignment vertical="center" wrapText="1"/>
      <protection/>
    </xf>
    <xf numFmtId="4" fontId="26" fillId="0" borderId="15" xfId="0" applyNumberFormat="1" applyFont="1" applyFill="1" applyBorder="1" applyAlignment="1">
      <alignment vertical="center"/>
    </xf>
    <xf numFmtId="2" fontId="26" fillId="0" borderId="15" xfId="0" applyNumberFormat="1" applyFont="1" applyFill="1" applyBorder="1" applyAlignment="1">
      <alignment horizontal="right" vertical="center"/>
    </xf>
    <xf numFmtId="221" fontId="61" fillId="0" borderId="15" xfId="69" applyNumberFormat="1" applyFont="1" applyFill="1" applyBorder="1" applyAlignment="1">
      <alignment vertical="center" wrapText="1"/>
      <protection/>
    </xf>
    <xf numFmtId="201" fontId="31" fillId="0" borderId="15" xfId="64" applyNumberFormat="1" applyFont="1" applyFill="1" applyBorder="1" applyAlignment="1">
      <alignment horizontal="left" vertical="center" wrapText="1"/>
      <protection/>
    </xf>
    <xf numFmtId="201" fontId="61" fillId="0" borderId="15" xfId="64" applyNumberFormat="1" applyFont="1" applyFill="1" applyBorder="1" applyAlignment="1">
      <alignment horizontal="left" vertical="center" wrapText="1"/>
      <protection/>
    </xf>
    <xf numFmtId="201" fontId="61" fillId="0" borderId="15" xfId="45" applyNumberFormat="1" applyFont="1" applyFill="1" applyBorder="1" applyAlignment="1">
      <alignment vertical="center" wrapText="1"/>
    </xf>
    <xf numFmtId="201" fontId="26" fillId="0" borderId="15" xfId="0" applyNumberFormat="1" applyFont="1" applyFill="1" applyBorder="1" applyAlignment="1">
      <alignment horizontal="left" vertical="center"/>
    </xf>
    <xf numFmtId="0" fontId="24" fillId="0" borderId="15" xfId="0" applyFont="1" applyFill="1" applyBorder="1" applyAlignment="1">
      <alignment vertical="center"/>
    </xf>
    <xf numFmtId="3" fontId="24" fillId="0" borderId="15" xfId="0" applyNumberFormat="1" applyFont="1" applyFill="1" applyBorder="1" applyAlignment="1">
      <alignment vertical="center" wrapText="1"/>
    </xf>
    <xf numFmtId="3" fontId="24" fillId="0" borderId="0" xfId="0" applyNumberFormat="1" applyFont="1" applyFill="1" applyBorder="1" applyAlignment="1">
      <alignment vertical="center"/>
    </xf>
    <xf numFmtId="0" fontId="26" fillId="0" borderId="15" xfId="0" applyFont="1" applyFill="1" applyBorder="1" applyAlignment="1">
      <alignment vertical="center"/>
    </xf>
    <xf numFmtId="3" fontId="26" fillId="0" borderId="15" xfId="0" applyNumberFormat="1" applyFont="1" applyFill="1" applyBorder="1" applyAlignment="1">
      <alignment vertical="center" wrapText="1"/>
    </xf>
    <xf numFmtId="3" fontId="26" fillId="0" borderId="0" xfId="0" applyNumberFormat="1" applyFont="1" applyFill="1" applyBorder="1" applyAlignment="1">
      <alignment horizontal="left" vertical="center"/>
    </xf>
    <xf numFmtId="3" fontId="26" fillId="0" borderId="0" xfId="0" applyNumberFormat="1" applyFont="1" applyFill="1" applyBorder="1" applyAlignment="1">
      <alignment vertical="center"/>
    </xf>
    <xf numFmtId="3" fontId="24" fillId="0" borderId="0" xfId="0" applyNumberFormat="1" applyFont="1" applyFill="1" applyBorder="1" applyAlignment="1">
      <alignment horizontal="center" vertical="center"/>
    </xf>
    <xf numFmtId="201" fontId="61" fillId="0" borderId="15" xfId="69" applyNumberFormat="1" applyFont="1" applyFill="1" applyBorder="1" applyAlignment="1">
      <alignment horizontal="right" vertical="center"/>
      <protection/>
    </xf>
    <xf numFmtId="201" fontId="61" fillId="0" borderId="15" xfId="0" applyNumberFormat="1" applyFont="1" applyFill="1" applyBorder="1" applyAlignment="1">
      <alignment horizontal="right" vertical="center" wrapText="1"/>
    </xf>
    <xf numFmtId="218" fontId="26" fillId="0" borderId="15" xfId="65" applyNumberFormat="1" applyFont="1" applyFill="1" applyBorder="1" applyAlignment="1">
      <alignment horizontal="right" vertical="center"/>
      <protection/>
    </xf>
    <xf numFmtId="0" fontId="26" fillId="0" borderId="15" xfId="0" applyFont="1" applyFill="1" applyBorder="1" applyAlignment="1">
      <alignment vertical="center" wrapText="1"/>
    </xf>
    <xf numFmtId="201" fontId="61" fillId="0" borderId="15" xfId="0" applyNumberFormat="1" applyFont="1" applyFill="1" applyBorder="1" applyAlignment="1">
      <alignment horizontal="right"/>
    </xf>
    <xf numFmtId="201" fontId="26" fillId="0" borderId="15" xfId="45" applyNumberFormat="1" applyFont="1" applyFill="1" applyBorder="1" applyAlignment="1">
      <alignment horizontal="right" vertical="center"/>
    </xf>
    <xf numFmtId="3" fontId="26" fillId="0" borderId="0" xfId="0" applyNumberFormat="1" applyFont="1" applyFill="1" applyBorder="1" applyAlignment="1">
      <alignment horizontal="center" vertical="center"/>
    </xf>
    <xf numFmtId="3" fontId="24" fillId="0" borderId="15" xfId="65" applyNumberFormat="1" applyFont="1" applyFill="1" applyBorder="1" applyAlignment="1">
      <alignment horizontal="right" vertical="center"/>
      <protection/>
    </xf>
    <xf numFmtId="201" fontId="61" fillId="0" borderId="15" xfId="0" applyNumberFormat="1" applyFont="1" applyFill="1" applyBorder="1" applyAlignment="1">
      <alignment vertical="center"/>
    </xf>
    <xf numFmtId="49" fontId="24" fillId="0" borderId="15" xfId="0" applyNumberFormat="1" applyFont="1" applyFill="1" applyBorder="1" applyAlignment="1">
      <alignment horizontal="center" vertical="center" wrapText="1"/>
    </xf>
    <xf numFmtId="201" fontId="26" fillId="0" borderId="15" xfId="65" applyNumberFormat="1" applyFont="1" applyFill="1" applyBorder="1" applyAlignment="1">
      <alignment horizontal="right" vertical="center"/>
      <protection/>
    </xf>
    <xf numFmtId="49" fontId="24" fillId="0" borderId="15" xfId="0" applyNumberFormat="1" applyFont="1" applyFill="1" applyBorder="1" applyAlignment="1">
      <alignment horizontal="center" vertical="center" wrapText="1"/>
    </xf>
    <xf numFmtId="0" fontId="24" fillId="0" borderId="15" xfId="0" applyFont="1" applyFill="1" applyBorder="1" applyAlignment="1">
      <alignment horizontal="left" vertical="center" shrinkToFit="1"/>
    </xf>
    <xf numFmtId="218" fontId="61" fillId="0" borderId="15" xfId="0" applyNumberFormat="1" applyFont="1" applyFill="1" applyBorder="1" applyAlignment="1">
      <alignment horizontal="right" vertical="center" wrapText="1"/>
    </xf>
    <xf numFmtId="3" fontId="61" fillId="0" borderId="15" xfId="0" applyNumberFormat="1" applyFont="1" applyFill="1" applyBorder="1" applyAlignment="1">
      <alignment horizontal="right" vertical="center" wrapText="1"/>
    </xf>
    <xf numFmtId="1" fontId="26" fillId="0" borderId="15" xfId="0" applyNumberFormat="1" applyFont="1" applyFill="1" applyBorder="1" applyAlignment="1">
      <alignment horizontal="center" vertical="center"/>
    </xf>
    <xf numFmtId="201" fontId="26" fillId="0" borderId="15" xfId="64" applyNumberFormat="1" applyFont="1" applyFill="1" applyBorder="1" applyAlignment="1">
      <alignment horizontal="left" vertical="center" wrapText="1"/>
      <protection/>
    </xf>
    <xf numFmtId="218" fontId="26" fillId="0" borderId="15" xfId="69" applyNumberFormat="1" applyFont="1" applyFill="1" applyBorder="1" applyAlignment="1">
      <alignment vertical="center" wrapText="1"/>
      <protection/>
    </xf>
    <xf numFmtId="3" fontId="26" fillId="0" borderId="15" xfId="69" applyNumberFormat="1" applyFont="1" applyFill="1" applyBorder="1" applyAlignment="1">
      <alignment vertical="center" wrapText="1"/>
      <protection/>
    </xf>
    <xf numFmtId="201" fontId="26" fillId="0" borderId="15" xfId="69" applyNumberFormat="1" applyFont="1" applyFill="1" applyBorder="1" applyAlignment="1">
      <alignment vertical="center" wrapText="1"/>
      <protection/>
    </xf>
    <xf numFmtId="201" fontId="26" fillId="0" borderId="15" xfId="69" applyNumberFormat="1" applyFont="1" applyFill="1" applyBorder="1" applyAlignment="1">
      <alignment horizontal="left" vertical="center" wrapText="1"/>
      <protection/>
    </xf>
    <xf numFmtId="201" fontId="61" fillId="0" borderId="24" xfId="0" applyNumberFormat="1" applyFont="1" applyFill="1" applyBorder="1" applyAlignment="1">
      <alignment vertical="center" wrapText="1"/>
    </xf>
    <xf numFmtId="201" fontId="25" fillId="0" borderId="24" xfId="69" applyNumberFormat="1" applyFont="1" applyFill="1" applyBorder="1" applyAlignment="1">
      <alignment vertical="center" wrapText="1"/>
      <protection/>
    </xf>
    <xf numFmtId="0" fontId="24" fillId="0" borderId="15" xfId="0" applyFont="1" applyFill="1" applyBorder="1" applyAlignment="1">
      <alignment vertical="center" wrapText="1"/>
    </xf>
    <xf numFmtId="218" fontId="61" fillId="0" borderId="15" xfId="0" applyNumberFormat="1" applyFont="1" applyFill="1" applyBorder="1" applyAlignment="1">
      <alignment vertical="center"/>
    </xf>
    <xf numFmtId="3" fontId="61" fillId="0" borderId="15" xfId="0" applyNumberFormat="1" applyFont="1" applyFill="1" applyBorder="1" applyAlignment="1">
      <alignment vertical="center"/>
    </xf>
    <xf numFmtId="0" fontId="24" fillId="0" borderId="11" xfId="0" applyFont="1" applyFill="1" applyBorder="1" applyAlignment="1">
      <alignment horizontal="left" vertical="center"/>
    </xf>
    <xf numFmtId="0" fontId="26" fillId="0" borderId="15" xfId="65" applyFont="1" applyFill="1" applyBorder="1" applyAlignment="1">
      <alignment horizontal="center" vertical="center"/>
      <protection/>
    </xf>
    <xf numFmtId="0" fontId="26" fillId="0" borderId="15" xfId="65" applyFont="1" applyFill="1" applyBorder="1" applyAlignment="1">
      <alignment horizontal="center" vertical="center" wrapText="1"/>
      <protection/>
    </xf>
    <xf numFmtId="173" fontId="26" fillId="0" borderId="15" xfId="0" applyNumberFormat="1" applyFont="1" applyFill="1" applyBorder="1" applyAlignment="1">
      <alignment horizontal="right" vertical="center"/>
    </xf>
    <xf numFmtId="218" fontId="61" fillId="0" borderId="15" xfId="0" applyNumberFormat="1" applyFont="1" applyFill="1" applyBorder="1" applyAlignment="1">
      <alignment vertical="center" wrapText="1"/>
    </xf>
    <xf numFmtId="0" fontId="26" fillId="0" borderId="0" xfId="0" applyFont="1" applyFill="1" applyBorder="1" applyAlignment="1">
      <alignment horizontal="center" vertical="center"/>
    </xf>
    <xf numFmtId="4" fontId="26" fillId="0" borderId="15" xfId="0" applyNumberFormat="1" applyFont="1" applyFill="1" applyBorder="1" applyAlignment="1">
      <alignment vertical="center"/>
    </xf>
    <xf numFmtId="0" fontId="24" fillId="0" borderId="15" xfId="65" applyFont="1" applyFill="1" applyBorder="1" applyAlignment="1">
      <alignment horizontal="center" vertical="center"/>
      <protection/>
    </xf>
    <xf numFmtId="0" fontId="24" fillId="0" borderId="15" xfId="65" applyFont="1" applyFill="1" applyBorder="1" applyAlignment="1">
      <alignment horizontal="center" vertical="center" wrapText="1"/>
      <protection/>
    </xf>
    <xf numFmtId="173" fontId="24" fillId="0" borderId="15" xfId="0" applyNumberFormat="1" applyFont="1" applyFill="1" applyBorder="1" applyAlignment="1">
      <alignment horizontal="right" vertical="center"/>
    </xf>
    <xf numFmtId="0" fontId="26" fillId="0" borderId="15" xfId="65" applyFont="1" applyFill="1" applyBorder="1" applyAlignment="1">
      <alignment horizontal="left" vertical="center"/>
      <protection/>
    </xf>
    <xf numFmtId="0" fontId="26" fillId="0" borderId="15" xfId="65" applyFont="1" applyFill="1" applyBorder="1" applyAlignment="1">
      <alignment horizontal="left" vertical="center" wrapText="1"/>
      <protection/>
    </xf>
    <xf numFmtId="173" fontId="26" fillId="0" borderId="15" xfId="0" applyNumberFormat="1" applyFont="1" applyFill="1" applyBorder="1" applyAlignment="1">
      <alignment horizontal="left" vertical="center"/>
    </xf>
    <xf numFmtId="218" fontId="26" fillId="0" borderId="15" xfId="0" applyNumberFormat="1" applyFont="1" applyFill="1" applyBorder="1" applyAlignment="1">
      <alignment horizontal="left" vertical="center"/>
    </xf>
    <xf numFmtId="218" fontId="61" fillId="0" borderId="15" xfId="69" applyNumberFormat="1" applyFont="1" applyFill="1" applyBorder="1" applyAlignment="1">
      <alignment horizontal="right" vertical="center" wrapText="1"/>
      <protection/>
    </xf>
    <xf numFmtId="4" fontId="24" fillId="0" borderId="15" xfId="0" applyNumberFormat="1" applyFont="1" applyFill="1" applyBorder="1" applyAlignment="1">
      <alignment horizontal="right" vertical="center"/>
    </xf>
    <xf numFmtId="0" fontId="26" fillId="0" borderId="24" xfId="0" applyNumberFormat="1" applyFont="1" applyFill="1" applyBorder="1" applyAlignment="1">
      <alignment horizontal="left" vertical="center" wrapText="1"/>
    </xf>
    <xf numFmtId="3" fontId="26" fillId="0" borderId="24" xfId="0" applyNumberFormat="1" applyFont="1" applyFill="1" applyBorder="1" applyAlignment="1">
      <alignment horizontal="center" vertical="center"/>
    </xf>
    <xf numFmtId="3" fontId="26" fillId="0" borderId="24" xfId="0" applyNumberFormat="1" applyFont="1" applyFill="1" applyBorder="1" applyAlignment="1">
      <alignment horizontal="center" vertical="center" wrapText="1"/>
    </xf>
    <xf numFmtId="3" fontId="26" fillId="0" borderId="24" xfId="0" applyNumberFormat="1" applyFont="1" applyFill="1" applyBorder="1" applyAlignment="1">
      <alignment vertical="center"/>
    </xf>
    <xf numFmtId="3" fontId="26" fillId="0" borderId="24" xfId="0" applyNumberFormat="1" applyFont="1" applyFill="1" applyBorder="1" applyAlignment="1">
      <alignment horizontal="right" vertical="center"/>
    </xf>
    <xf numFmtId="218" fontId="26" fillId="0" borderId="24" xfId="0" applyNumberFormat="1" applyFont="1" applyFill="1" applyBorder="1" applyAlignment="1">
      <alignment horizontal="right" vertical="center"/>
    </xf>
    <xf numFmtId="218" fontId="26" fillId="0" borderId="24" xfId="0" applyNumberFormat="1" applyFont="1" applyFill="1" applyBorder="1" applyAlignment="1">
      <alignment vertical="center"/>
    </xf>
    <xf numFmtId="4" fontId="26" fillId="0" borderId="24" xfId="0" applyNumberFormat="1" applyFont="1" applyFill="1" applyBorder="1" applyAlignment="1">
      <alignment vertical="center"/>
    </xf>
    <xf numFmtId="0" fontId="24" fillId="0" borderId="24" xfId="0" applyNumberFormat="1" applyFont="1" applyFill="1" applyBorder="1" applyAlignment="1">
      <alignment horizontal="left" vertical="center" wrapText="1"/>
    </xf>
    <xf numFmtId="3" fontId="24" fillId="0" borderId="24" xfId="0" applyNumberFormat="1" applyFont="1" applyFill="1" applyBorder="1" applyAlignment="1">
      <alignment horizontal="center" vertical="center"/>
    </xf>
    <xf numFmtId="3" fontId="24" fillId="0" borderId="24" xfId="0" applyNumberFormat="1" applyFont="1" applyFill="1" applyBorder="1" applyAlignment="1">
      <alignment horizontal="center" vertical="center" wrapText="1"/>
    </xf>
    <xf numFmtId="3" fontId="24" fillId="0" borderId="24" xfId="0" applyNumberFormat="1" applyFont="1" applyFill="1" applyBorder="1" applyAlignment="1">
      <alignment vertical="center"/>
    </xf>
    <xf numFmtId="3" fontId="24" fillId="0" borderId="24" xfId="0" applyNumberFormat="1" applyFont="1" applyFill="1" applyBorder="1" applyAlignment="1">
      <alignment horizontal="right" vertical="center"/>
    </xf>
    <xf numFmtId="4" fontId="26" fillId="0" borderId="24" xfId="0" applyNumberFormat="1" applyFont="1" applyFill="1" applyBorder="1" applyAlignment="1">
      <alignment horizontal="right" vertical="center"/>
    </xf>
    <xf numFmtId="218" fontId="24" fillId="0" borderId="24" xfId="0" applyNumberFormat="1" applyFont="1" applyFill="1" applyBorder="1" applyAlignment="1">
      <alignment horizontal="right" vertical="center"/>
    </xf>
    <xf numFmtId="173" fontId="26" fillId="0" borderId="24" xfId="0" applyNumberFormat="1" applyFont="1" applyFill="1" applyBorder="1" applyAlignment="1">
      <alignment horizontal="right" vertical="center"/>
    </xf>
    <xf numFmtId="0" fontId="24" fillId="4" borderId="15" xfId="0" applyFont="1" applyFill="1" applyBorder="1" applyAlignment="1">
      <alignment horizontal="center" vertical="center"/>
    </xf>
    <xf numFmtId="0" fontId="24" fillId="4" borderId="15" xfId="0" applyFont="1" applyFill="1" applyBorder="1" applyAlignment="1">
      <alignment vertical="center" wrapText="1"/>
    </xf>
    <xf numFmtId="3" fontId="24" fillId="4" borderId="15" xfId="0" applyNumberFormat="1" applyFont="1" applyFill="1" applyBorder="1" applyAlignment="1">
      <alignment horizontal="center" vertical="center"/>
    </xf>
    <xf numFmtId="1" fontId="24" fillId="4" borderId="15" xfId="0" applyNumberFormat="1" applyFont="1" applyFill="1" applyBorder="1" applyAlignment="1">
      <alignment horizontal="center" vertical="center"/>
    </xf>
    <xf numFmtId="3" fontId="24" fillId="4" borderId="15" xfId="0" applyNumberFormat="1" applyFont="1" applyFill="1" applyBorder="1" applyAlignment="1">
      <alignment horizontal="center" vertical="center" wrapText="1"/>
    </xf>
    <xf numFmtId="3" fontId="24" fillId="4" borderId="15" xfId="0" applyNumberFormat="1" applyFont="1" applyFill="1" applyBorder="1" applyAlignment="1">
      <alignment vertical="center"/>
    </xf>
    <xf numFmtId="218" fontId="24" fillId="4" borderId="15" xfId="0" applyNumberFormat="1" applyFont="1" applyFill="1" applyBorder="1" applyAlignment="1">
      <alignment vertical="center"/>
    </xf>
    <xf numFmtId="201" fontId="24" fillId="4" borderId="15" xfId="0" applyNumberFormat="1" applyFont="1" applyFill="1" applyBorder="1" applyAlignment="1">
      <alignment vertical="center"/>
    </xf>
    <xf numFmtId="0" fontId="24" fillId="4" borderId="0" xfId="0" applyFont="1" applyFill="1" applyBorder="1" applyAlignment="1">
      <alignment horizontal="left" vertical="center"/>
    </xf>
    <xf numFmtId="0" fontId="24" fillId="4" borderId="0" xfId="0" applyFont="1" applyFill="1" applyBorder="1" applyAlignment="1">
      <alignment horizontal="center" vertical="center"/>
    </xf>
    <xf numFmtId="0" fontId="26" fillId="4" borderId="15" xfId="0" applyFont="1" applyFill="1" applyBorder="1" applyAlignment="1">
      <alignment vertical="center" wrapText="1"/>
    </xf>
    <xf numFmtId="3" fontId="26" fillId="4" borderId="15" xfId="0" applyNumberFormat="1" applyFont="1" applyFill="1" applyBorder="1" applyAlignment="1">
      <alignment horizontal="center" vertical="center"/>
    </xf>
    <xf numFmtId="1" fontId="26" fillId="4" borderId="15" xfId="0" applyNumberFormat="1" applyFont="1" applyFill="1" applyBorder="1" applyAlignment="1">
      <alignment horizontal="center" vertical="center"/>
    </xf>
    <xf numFmtId="3" fontId="26" fillId="4" borderId="15" xfId="0" applyNumberFormat="1" applyFont="1" applyFill="1" applyBorder="1" applyAlignment="1">
      <alignment horizontal="center" vertical="center" wrapText="1"/>
    </xf>
    <xf numFmtId="3" fontId="26" fillId="4" borderId="15" xfId="0" applyNumberFormat="1" applyFont="1" applyFill="1" applyBorder="1" applyAlignment="1">
      <alignment vertical="center"/>
    </xf>
    <xf numFmtId="218" fontId="26" fillId="4" borderId="15" xfId="0" applyNumberFormat="1" applyFont="1" applyFill="1" applyBorder="1" applyAlignment="1">
      <alignment vertical="center"/>
    </xf>
    <xf numFmtId="201" fontId="26" fillId="4" borderId="15" xfId="0" applyNumberFormat="1" applyFont="1" applyFill="1" applyBorder="1" applyAlignment="1">
      <alignment vertical="center"/>
    </xf>
    <xf numFmtId="0" fontId="24" fillId="0" borderId="0" xfId="0" applyFont="1" applyFill="1" applyBorder="1" applyAlignment="1">
      <alignment horizontal="center" vertical="center"/>
    </xf>
    <xf numFmtId="0" fontId="26" fillId="0" borderId="15" xfId="61" applyFont="1" applyFill="1" applyBorder="1" applyAlignment="1">
      <alignment wrapText="1"/>
      <protection/>
    </xf>
    <xf numFmtId="3" fontId="26" fillId="0" borderId="15" xfId="60" applyNumberFormat="1" applyFont="1" applyFill="1" applyBorder="1" applyAlignment="1">
      <alignment wrapText="1"/>
      <protection/>
    </xf>
    <xf numFmtId="4" fontId="26" fillId="0" borderId="15" xfId="60" applyNumberFormat="1" applyFont="1" applyFill="1" applyBorder="1" applyAlignment="1">
      <alignment wrapText="1"/>
      <protection/>
    </xf>
    <xf numFmtId="4" fontId="61" fillId="0" borderId="15" xfId="0" applyNumberFormat="1" applyFont="1" applyFill="1" applyBorder="1" applyAlignment="1">
      <alignment vertical="center" wrapText="1"/>
    </xf>
    <xf numFmtId="0" fontId="26" fillId="0" borderId="24" xfId="0" applyFont="1" applyFill="1" applyBorder="1" applyAlignment="1">
      <alignment vertical="center" wrapText="1"/>
    </xf>
    <xf numFmtId="0" fontId="26" fillId="0" borderId="24" xfId="65" applyFont="1" applyFill="1" applyBorder="1" applyAlignment="1">
      <alignment horizontal="center" vertical="center"/>
      <protection/>
    </xf>
    <xf numFmtId="0" fontId="26" fillId="0" borderId="24" xfId="65" applyFont="1" applyFill="1" applyBorder="1" applyAlignment="1">
      <alignment horizontal="center" vertical="center" wrapText="1"/>
      <protection/>
    </xf>
    <xf numFmtId="218" fontId="61" fillId="0" borderId="24" xfId="0" applyNumberFormat="1" applyFont="1" applyFill="1" applyBorder="1" applyAlignment="1">
      <alignment vertical="center" wrapText="1"/>
    </xf>
    <xf numFmtId="218" fontId="31" fillId="0" borderId="19" xfId="69" applyNumberFormat="1" applyFont="1" applyFill="1" applyBorder="1" applyAlignment="1">
      <alignment vertical="center" wrapText="1"/>
      <protection/>
    </xf>
    <xf numFmtId="220" fontId="26" fillId="0" borderId="15" xfId="0" applyNumberFormat="1" applyFont="1" applyFill="1" applyBorder="1" applyAlignment="1">
      <alignment vertical="center"/>
    </xf>
    <xf numFmtId="0" fontId="24" fillId="0" borderId="15" xfId="65" applyFont="1" applyFill="1" applyBorder="1" applyAlignment="1">
      <alignment horizontal="center" vertical="center"/>
      <protection/>
    </xf>
    <xf numFmtId="0" fontId="24" fillId="0" borderId="15" xfId="65" applyFont="1" applyFill="1" applyBorder="1" applyAlignment="1">
      <alignment horizontal="center" vertical="center" wrapText="1"/>
      <protection/>
    </xf>
    <xf numFmtId="173" fontId="24" fillId="0" borderId="15" xfId="0" applyNumberFormat="1" applyFont="1" applyFill="1" applyBorder="1" applyAlignment="1">
      <alignment horizontal="right" vertical="center"/>
    </xf>
    <xf numFmtId="173" fontId="26" fillId="0" borderId="15" xfId="0" applyNumberFormat="1" applyFont="1" applyFill="1" applyBorder="1" applyAlignment="1">
      <alignment horizontal="right" vertical="center"/>
    </xf>
    <xf numFmtId="3" fontId="24" fillId="0" borderId="15" xfId="0" applyNumberFormat="1" applyFont="1" applyFill="1" applyBorder="1" applyAlignment="1">
      <alignment horizontal="left" vertical="center"/>
    </xf>
    <xf numFmtId="1" fontId="24" fillId="0" borderId="15" xfId="0" applyNumberFormat="1" applyFont="1" applyFill="1" applyBorder="1" applyAlignment="1">
      <alignment horizontal="left" vertical="center"/>
    </xf>
    <xf numFmtId="3" fontId="24" fillId="0" borderId="15" xfId="0" applyNumberFormat="1" applyFont="1" applyFill="1" applyBorder="1" applyAlignment="1">
      <alignment horizontal="left" vertical="center" wrapText="1"/>
    </xf>
    <xf numFmtId="3" fontId="24" fillId="0" borderId="11" xfId="0" applyNumberFormat="1" applyFont="1" applyFill="1" applyBorder="1" applyAlignment="1">
      <alignment horizontal="center" vertical="center"/>
    </xf>
    <xf numFmtId="0" fontId="26" fillId="0" borderId="15" xfId="0" applyFont="1" applyFill="1" applyBorder="1" applyAlignment="1">
      <alignment vertical="center"/>
    </xf>
    <xf numFmtId="0" fontId="26" fillId="0" borderId="15" xfId="0" applyFont="1" applyFill="1" applyBorder="1" applyAlignment="1">
      <alignment horizontal="right" vertical="center"/>
    </xf>
    <xf numFmtId="201" fontId="26" fillId="0" borderId="0" xfId="0" applyNumberFormat="1" applyFont="1" applyFill="1" applyBorder="1" applyAlignment="1">
      <alignment vertical="center"/>
    </xf>
    <xf numFmtId="3" fontId="26" fillId="0" borderId="0" xfId="0" applyNumberFormat="1" applyFont="1" applyFill="1" applyBorder="1" applyAlignment="1">
      <alignment horizontal="right" vertical="center"/>
    </xf>
    <xf numFmtId="0" fontId="26" fillId="0" borderId="24" xfId="0" applyFont="1" applyFill="1" applyBorder="1" applyAlignment="1">
      <alignment horizontal="center" vertical="center"/>
    </xf>
    <xf numFmtId="0" fontId="26" fillId="0" borderId="24" xfId="0" applyFont="1" applyFill="1" applyBorder="1" applyAlignment="1">
      <alignment vertical="center" wrapText="1"/>
    </xf>
    <xf numFmtId="0" fontId="26" fillId="0" borderId="24" xfId="0" applyFont="1" applyFill="1" applyBorder="1" applyAlignment="1">
      <alignment horizontal="center" vertical="center" wrapText="1"/>
    </xf>
    <xf numFmtId="0" fontId="26" fillId="0" borderId="24" xfId="0" applyFont="1" applyFill="1" applyBorder="1" applyAlignment="1">
      <alignment vertical="center"/>
    </xf>
    <xf numFmtId="0" fontId="26" fillId="0" borderId="24" xfId="0" applyFont="1" applyFill="1" applyBorder="1" applyAlignment="1">
      <alignment horizontal="right" vertical="center"/>
    </xf>
    <xf numFmtId="218" fontId="26" fillId="0" borderId="24" xfId="0" applyNumberFormat="1" applyFont="1" applyFill="1" applyBorder="1" applyAlignment="1">
      <alignment horizontal="right" vertical="center"/>
    </xf>
    <xf numFmtId="218" fontId="26" fillId="0" borderId="24" xfId="0" applyNumberFormat="1" applyFont="1" applyFill="1" applyBorder="1" applyAlignment="1">
      <alignment vertical="center"/>
    </xf>
    <xf numFmtId="201" fontId="26" fillId="0" borderId="24" xfId="0" applyNumberFormat="1" applyFont="1" applyFill="1" applyBorder="1" applyAlignment="1">
      <alignment vertical="center"/>
    </xf>
    <xf numFmtId="0" fontId="26" fillId="0" borderId="29" xfId="0" applyFont="1" applyFill="1" applyBorder="1" applyAlignment="1">
      <alignment horizontal="center" vertical="center"/>
    </xf>
    <xf numFmtId="0" fontId="26" fillId="0" borderId="29" xfId="0" applyFont="1" applyFill="1" applyBorder="1" applyAlignment="1">
      <alignment vertical="center" wrapText="1"/>
    </xf>
    <xf numFmtId="0" fontId="26" fillId="0" borderId="29" xfId="0" applyFont="1" applyFill="1" applyBorder="1" applyAlignment="1">
      <alignment horizontal="center" vertical="center" wrapText="1"/>
    </xf>
    <xf numFmtId="0" fontId="26" fillId="0" borderId="29" xfId="0" applyFont="1" applyFill="1" applyBorder="1" applyAlignment="1">
      <alignment vertical="center"/>
    </xf>
    <xf numFmtId="0" fontId="26" fillId="0" borderId="29" xfId="0" applyFont="1" applyFill="1" applyBorder="1" applyAlignment="1">
      <alignment horizontal="right" vertical="center"/>
    </xf>
    <xf numFmtId="218" fontId="26" fillId="0" borderId="29" xfId="0" applyNumberFormat="1" applyFont="1" applyFill="1" applyBorder="1" applyAlignment="1">
      <alignment horizontal="right" vertical="center"/>
    </xf>
    <xf numFmtId="218" fontId="26" fillId="0" borderId="29" xfId="0" applyNumberFormat="1" applyFont="1" applyFill="1" applyBorder="1" applyAlignment="1">
      <alignment horizontal="right" vertical="center"/>
    </xf>
    <xf numFmtId="218" fontId="26" fillId="0" borderId="29" xfId="0" applyNumberFormat="1" applyFont="1" applyFill="1" applyBorder="1" applyAlignment="1">
      <alignment vertical="center"/>
    </xf>
    <xf numFmtId="201" fontId="26" fillId="0" borderId="29" xfId="0" applyNumberFormat="1" applyFont="1" applyFill="1" applyBorder="1" applyAlignment="1">
      <alignment vertical="center"/>
    </xf>
    <xf numFmtId="0" fontId="26" fillId="0" borderId="0" xfId="0" applyFont="1" applyFill="1" applyAlignment="1">
      <alignment vertical="center" wrapText="1"/>
    </xf>
    <xf numFmtId="0" fontId="26" fillId="0" borderId="0" xfId="0" applyFont="1" applyFill="1" applyAlignment="1">
      <alignment vertical="center"/>
    </xf>
    <xf numFmtId="218" fontId="26" fillId="0" borderId="0" xfId="0" applyNumberFormat="1" applyFont="1" applyFill="1" applyBorder="1" applyAlignment="1">
      <alignment vertical="center"/>
    </xf>
    <xf numFmtId="0" fontId="26" fillId="0" borderId="0" xfId="0" applyFont="1" applyFill="1" applyBorder="1" applyAlignment="1">
      <alignment vertical="center" wrapText="1"/>
    </xf>
    <xf numFmtId="0" fontId="38" fillId="0" borderId="0" xfId="0" applyFont="1" applyFill="1" applyBorder="1" applyAlignment="1">
      <alignment horizontal="left" vertical="center"/>
    </xf>
    <xf numFmtId="0" fontId="38" fillId="0" borderId="0" xfId="0" applyFont="1" applyFill="1" applyBorder="1" applyAlignment="1">
      <alignment vertical="center"/>
    </xf>
    <xf numFmtId="0" fontId="26" fillId="0" borderId="24" xfId="0" applyFont="1" applyFill="1" applyBorder="1" applyAlignment="1">
      <alignment horizontal="center" vertical="center"/>
    </xf>
    <xf numFmtId="0" fontId="24" fillId="0" borderId="15" xfId="0" applyFont="1" applyFill="1" applyBorder="1" applyAlignment="1">
      <alignment horizontal="center" vertical="center"/>
    </xf>
    <xf numFmtId="0" fontId="24" fillId="0" borderId="15" xfId="0" applyFont="1" applyFill="1" applyBorder="1" applyAlignment="1">
      <alignment horizontal="left" vertical="center" wrapText="1"/>
    </xf>
    <xf numFmtId="3" fontId="24" fillId="0" borderId="15" xfId="0" applyNumberFormat="1" applyFont="1" applyFill="1" applyBorder="1" applyAlignment="1">
      <alignment horizontal="center" vertical="center"/>
    </xf>
    <xf numFmtId="3" fontId="24" fillId="0" borderId="15" xfId="0" applyNumberFormat="1" applyFont="1" applyFill="1" applyBorder="1" applyAlignment="1">
      <alignment horizontal="center" vertical="center" wrapText="1"/>
    </xf>
    <xf numFmtId="3" fontId="24" fillId="0" borderId="15" xfId="0" applyNumberFormat="1" applyFont="1" applyFill="1" applyBorder="1" applyAlignment="1">
      <alignment vertical="center"/>
    </xf>
    <xf numFmtId="218" fontId="24" fillId="0" borderId="15" xfId="0" applyNumberFormat="1" applyFont="1" applyFill="1" applyBorder="1" applyAlignment="1">
      <alignment vertical="center"/>
    </xf>
    <xf numFmtId="0" fontId="24" fillId="0" borderId="0" xfId="0" applyNumberFormat="1" applyFont="1" applyFill="1" applyBorder="1" applyAlignment="1">
      <alignment vertical="center"/>
    </xf>
    <xf numFmtId="0" fontId="60" fillId="0" borderId="0" xfId="0" applyFont="1" applyAlignment="1">
      <alignment/>
    </xf>
    <xf numFmtId="187" fontId="18" fillId="0" borderId="0" xfId="0" applyNumberFormat="1" applyFont="1" applyAlignment="1">
      <alignment/>
    </xf>
    <xf numFmtId="0" fontId="40" fillId="0" borderId="25" xfId="0" applyFont="1" applyBorder="1" applyAlignment="1">
      <alignment horizontal="center"/>
    </xf>
    <xf numFmtId="0" fontId="49" fillId="0" borderId="16" xfId="0" applyFont="1" applyBorder="1" applyAlignment="1">
      <alignment horizontal="center"/>
    </xf>
    <xf numFmtId="0" fontId="36" fillId="0" borderId="16" xfId="0" applyFont="1" applyBorder="1" applyAlignment="1">
      <alignment/>
    </xf>
    <xf numFmtId="3" fontId="36" fillId="0" borderId="16" xfId="0" applyNumberFormat="1" applyFont="1" applyBorder="1" applyAlignment="1">
      <alignment/>
    </xf>
    <xf numFmtId="4" fontId="36" fillId="0" borderId="16" xfId="0" applyNumberFormat="1" applyFont="1" applyBorder="1" applyAlignment="1">
      <alignment/>
    </xf>
    <xf numFmtId="9" fontId="24" fillId="0" borderId="16" xfId="68" applyFont="1" applyBorder="1" applyAlignment="1">
      <alignment/>
    </xf>
    <xf numFmtId="0" fontId="18" fillId="0" borderId="15" xfId="0" applyFont="1" applyBorder="1" applyAlignment="1">
      <alignment horizontal="center"/>
    </xf>
    <xf numFmtId="0" fontId="39" fillId="0" borderId="15" xfId="0" applyFont="1" applyBorder="1" applyAlignment="1">
      <alignment/>
    </xf>
    <xf numFmtId="3" fontId="39" fillId="0" borderId="15" xfId="0" applyNumberFormat="1" applyFont="1" applyBorder="1" applyAlignment="1">
      <alignment/>
    </xf>
    <xf numFmtId="4" fontId="39" fillId="0" borderId="15" xfId="0" applyNumberFormat="1" applyFont="1" applyBorder="1" applyAlignment="1">
      <alignment/>
    </xf>
    <xf numFmtId="9" fontId="39" fillId="0" borderId="16" xfId="68" applyFont="1" applyBorder="1" applyAlignment="1">
      <alignment/>
    </xf>
    <xf numFmtId="9" fontId="36" fillId="0" borderId="16" xfId="68" applyFont="1" applyBorder="1" applyAlignment="1">
      <alignment/>
    </xf>
    <xf numFmtId="0" fontId="49" fillId="0" borderId="15" xfId="0" applyFont="1" applyBorder="1" applyAlignment="1">
      <alignment horizontal="center"/>
    </xf>
    <xf numFmtId="0" fontId="36" fillId="0" borderId="15" xfId="0" applyFont="1" applyBorder="1" applyAlignment="1">
      <alignment/>
    </xf>
    <xf numFmtId="4" fontId="36" fillId="0" borderId="15" xfId="0" applyNumberFormat="1" applyFont="1" applyBorder="1" applyAlignment="1">
      <alignment/>
    </xf>
    <xf numFmtId="9" fontId="24" fillId="0" borderId="16" xfId="68" applyNumberFormat="1" applyFont="1" applyBorder="1" applyAlignment="1">
      <alignment/>
    </xf>
    <xf numFmtId="177" fontId="18" fillId="0" borderId="0" xfId="0" applyNumberFormat="1" applyFont="1" applyAlignment="1">
      <alignment/>
    </xf>
    <xf numFmtId="4" fontId="39" fillId="0" borderId="15" xfId="0" applyNumberFormat="1" applyFont="1" applyBorder="1" applyAlignment="1">
      <alignment/>
    </xf>
    <xf numFmtId="9" fontId="39" fillId="0" borderId="15" xfId="68" applyFont="1" applyBorder="1" applyAlignment="1">
      <alignment/>
    </xf>
    <xf numFmtId="3" fontId="39" fillId="4" borderId="15" xfId="0" applyNumberFormat="1" applyFont="1" applyFill="1" applyBorder="1" applyAlignment="1">
      <alignment/>
    </xf>
    <xf numFmtId="4" fontId="39" fillId="0" borderId="15" xfId="0" applyNumberFormat="1" applyFont="1" applyFill="1" applyBorder="1" applyAlignment="1">
      <alignment/>
    </xf>
    <xf numFmtId="3" fontId="39" fillId="0" borderId="15" xfId="0" applyNumberFormat="1" applyFont="1" applyFill="1" applyBorder="1" applyAlignment="1">
      <alignment/>
    </xf>
    <xf numFmtId="0" fontId="69" fillId="0" borderId="15" xfId="0" applyNumberFormat="1" applyFont="1" applyBorder="1" applyAlignment="1">
      <alignment wrapText="1"/>
    </xf>
    <xf numFmtId="177" fontId="38" fillId="0" borderId="0" xfId="0" applyNumberFormat="1" applyFont="1" applyAlignment="1">
      <alignment/>
    </xf>
    <xf numFmtId="4" fontId="39" fillId="4" borderId="15" xfId="0" applyNumberFormat="1" applyFont="1" applyFill="1" applyBorder="1" applyAlignment="1">
      <alignment/>
    </xf>
    <xf numFmtId="177" fontId="26" fillId="0" borderId="0" xfId="0" applyNumberFormat="1" applyFont="1" applyAlignment="1">
      <alignment/>
    </xf>
    <xf numFmtId="0" fontId="39" fillId="0" borderId="24" xfId="0" applyFont="1" applyBorder="1" applyAlignment="1">
      <alignment/>
    </xf>
    <xf numFmtId="3" fontId="39" fillId="0" borderId="24" xfId="0" applyNumberFormat="1" applyFont="1" applyFill="1" applyBorder="1" applyAlignment="1">
      <alignment/>
    </xf>
    <xf numFmtId="4" fontId="39" fillId="4" borderId="24" xfId="0" applyNumberFormat="1" applyFont="1" applyFill="1" applyBorder="1" applyAlignment="1">
      <alignment/>
    </xf>
    <xf numFmtId="9" fontId="36" fillId="0" borderId="19" xfId="68" applyFont="1" applyBorder="1" applyAlignment="1">
      <alignment/>
    </xf>
    <xf numFmtId="9" fontId="36" fillId="0" borderId="15" xfId="68" applyFont="1" applyBorder="1" applyAlignment="1">
      <alignment/>
    </xf>
    <xf numFmtId="189" fontId="18" fillId="0" borderId="0" xfId="0" applyNumberFormat="1" applyFont="1" applyAlignment="1">
      <alignment/>
    </xf>
    <xf numFmtId="0" fontId="4" fillId="0" borderId="29" xfId="0" applyFont="1" applyBorder="1" applyAlignment="1">
      <alignment/>
    </xf>
    <xf numFmtId="0" fontId="39" fillId="0" borderId="29" xfId="0" applyFont="1" applyBorder="1" applyAlignment="1">
      <alignment/>
    </xf>
    <xf numFmtId="4" fontId="70" fillId="0" borderId="29" xfId="0" applyNumberFormat="1" applyFont="1" applyBorder="1" applyAlignment="1">
      <alignment/>
    </xf>
    <xf numFmtId="0" fontId="4" fillId="0" borderId="0" xfId="0" applyFont="1" applyAlignment="1">
      <alignment/>
    </xf>
    <xf numFmtId="187" fontId="53" fillId="0" borderId="0" xfId="0" applyNumberFormat="1" applyFont="1" applyAlignment="1">
      <alignment/>
    </xf>
    <xf numFmtId="0" fontId="69" fillId="0" borderId="0" xfId="0" applyFont="1" applyAlignment="1">
      <alignment/>
    </xf>
    <xf numFmtId="0" fontId="61" fillId="0" borderId="0" xfId="0" applyFont="1" applyAlignment="1">
      <alignment/>
    </xf>
    <xf numFmtId="0" fontId="70" fillId="0" borderId="0" xfId="0" applyFont="1" applyAlignment="1">
      <alignment/>
    </xf>
    <xf numFmtId="4" fontId="70" fillId="0" borderId="0" xfId="0" applyNumberFormat="1" applyFont="1" applyAlignment="1">
      <alignment/>
    </xf>
    <xf numFmtId="3" fontId="26" fillId="0" borderId="18" xfId="62" applyNumberFormat="1" applyFont="1" applyFill="1" applyBorder="1">
      <alignment/>
      <protection/>
    </xf>
    <xf numFmtId="4" fontId="26" fillId="0" borderId="18" xfId="62" applyNumberFormat="1" applyFont="1" applyFill="1" applyBorder="1">
      <alignment/>
      <protection/>
    </xf>
    <xf numFmtId="173" fontId="26" fillId="0" borderId="18" xfId="62" applyNumberFormat="1" applyFont="1" applyFill="1" applyBorder="1">
      <alignment/>
      <protection/>
    </xf>
    <xf numFmtId="4" fontId="26" fillId="0" borderId="15" xfId="62" applyNumberFormat="1" applyFont="1" applyFill="1" applyBorder="1">
      <alignment/>
      <protection/>
    </xf>
    <xf numFmtId="0" fontId="26" fillId="0" borderId="21" xfId="62" applyFont="1" applyFill="1" applyBorder="1">
      <alignment/>
      <protection/>
    </xf>
    <xf numFmtId="0" fontId="51" fillId="0" borderId="11" xfId="0" applyFont="1" applyBorder="1" applyAlignment="1">
      <alignment horizontal="center" vertical="center" wrapText="1"/>
    </xf>
    <xf numFmtId="0" fontId="39" fillId="0" borderId="16" xfId="0" applyFont="1" applyBorder="1" applyAlignment="1">
      <alignment/>
    </xf>
    <xf numFmtId="0" fontId="56" fillId="0" borderId="16" xfId="0" applyFont="1" applyBorder="1" applyAlignment="1">
      <alignment horizontal="center"/>
    </xf>
    <xf numFmtId="3" fontId="56" fillId="0" borderId="16" xfId="0" applyNumberFormat="1" applyFont="1" applyBorder="1" applyAlignment="1">
      <alignment/>
    </xf>
    <xf numFmtId="4" fontId="56" fillId="0" borderId="16" xfId="0" applyNumberFormat="1" applyFont="1" applyBorder="1" applyAlignment="1">
      <alignment/>
    </xf>
    <xf numFmtId="9" fontId="56" fillId="0" borderId="16" xfId="68" applyFont="1" applyBorder="1" applyAlignment="1">
      <alignment/>
    </xf>
    <xf numFmtId="0" fontId="36" fillId="0" borderId="15" xfId="0" applyFont="1" applyBorder="1" applyAlignment="1">
      <alignment horizontal="center"/>
    </xf>
    <xf numFmtId="3" fontId="36" fillId="0" borderId="15" xfId="0" applyNumberFormat="1" applyFont="1" applyFill="1" applyBorder="1" applyAlignment="1">
      <alignment/>
    </xf>
    <xf numFmtId="0" fontId="75" fillId="0" borderId="0" xfId="0" applyFont="1" applyAlignment="1">
      <alignment/>
    </xf>
    <xf numFmtId="0" fontId="39" fillId="0" borderId="15" xfId="0" applyFont="1" applyBorder="1" applyAlignment="1">
      <alignment horizontal="center"/>
    </xf>
    <xf numFmtId="3" fontId="39" fillId="0" borderId="15" xfId="0" applyNumberFormat="1" applyFont="1" applyBorder="1" applyAlignment="1">
      <alignment/>
    </xf>
    <xf numFmtId="0" fontId="36" fillId="0" borderId="15" xfId="0" applyFont="1" applyBorder="1" applyAlignment="1">
      <alignment horizontal="center" vertical="center" wrapText="1"/>
    </xf>
    <xf numFmtId="0" fontId="36" fillId="0" borderId="15" xfId="0" applyFont="1" applyBorder="1" applyAlignment="1">
      <alignment wrapText="1"/>
    </xf>
    <xf numFmtId="3" fontId="36" fillId="0" borderId="15" xfId="0" applyNumberFormat="1" applyFont="1" applyBorder="1" applyAlignment="1">
      <alignment vertical="center" wrapText="1"/>
    </xf>
    <xf numFmtId="4" fontId="36" fillId="0" borderId="15" xfId="0" applyNumberFormat="1" applyFont="1" applyBorder="1" applyAlignment="1">
      <alignment vertical="center" wrapText="1"/>
    </xf>
    <xf numFmtId="9" fontId="36" fillId="0" borderId="16" xfId="68" applyFont="1" applyBorder="1" applyAlignment="1">
      <alignment vertical="center" wrapText="1"/>
    </xf>
    <xf numFmtId="4" fontId="36" fillId="0" borderId="15" xfId="0" applyNumberFormat="1" applyFont="1" applyFill="1" applyBorder="1" applyAlignment="1">
      <alignment/>
    </xf>
    <xf numFmtId="3" fontId="39" fillId="0" borderId="15" xfId="0" applyNumberFormat="1" applyFont="1" applyFill="1" applyBorder="1" applyAlignment="1">
      <alignment horizontal="right"/>
    </xf>
    <xf numFmtId="3" fontId="39" fillId="0" borderId="15" xfId="0" applyNumberFormat="1" applyFont="1" applyFill="1" applyBorder="1" applyAlignment="1">
      <alignment/>
    </xf>
    <xf numFmtId="3" fontId="39" fillId="0" borderId="27" xfId="0" applyNumberFormat="1" applyFont="1" applyFill="1" applyBorder="1" applyAlignment="1">
      <alignment/>
    </xf>
    <xf numFmtId="0" fontId="36" fillId="0" borderId="24" xfId="0" applyFont="1" applyBorder="1" applyAlignment="1">
      <alignment horizontal="center"/>
    </xf>
    <xf numFmtId="0" fontId="36" fillId="0" borderId="24" xfId="0" applyFont="1" applyBorder="1" applyAlignment="1">
      <alignment/>
    </xf>
    <xf numFmtId="3" fontId="36" fillId="0" borderId="15" xfId="0" applyNumberFormat="1" applyFont="1" applyBorder="1" applyAlignment="1">
      <alignment/>
    </xf>
    <xf numFmtId="3" fontId="36" fillId="0" borderId="24" xfId="0" applyNumberFormat="1" applyFont="1" applyBorder="1" applyAlignment="1">
      <alignment/>
    </xf>
    <xf numFmtId="4" fontId="36" fillId="0" borderId="24" xfId="0" applyNumberFormat="1" applyFont="1" applyBorder="1" applyAlignment="1">
      <alignment/>
    </xf>
    <xf numFmtId="3" fontId="36" fillId="0" borderId="15" xfId="0" applyNumberFormat="1" applyFont="1" applyFill="1" applyBorder="1" applyAlignment="1">
      <alignment horizontal="right"/>
    </xf>
    <xf numFmtId="3" fontId="36" fillId="0" borderId="27" xfId="0" applyNumberFormat="1" applyFont="1" applyFill="1" applyBorder="1" applyAlignment="1">
      <alignment/>
    </xf>
    <xf numFmtId="0" fontId="36" fillId="0" borderId="19" xfId="0" applyFont="1" applyBorder="1" applyAlignment="1">
      <alignment horizontal="center" wrapText="1"/>
    </xf>
    <xf numFmtId="0" fontId="36" fillId="0" borderId="19" xfId="0" applyFont="1" applyBorder="1" applyAlignment="1">
      <alignment wrapText="1"/>
    </xf>
    <xf numFmtId="3" fontId="36" fillId="0" borderId="15" xfId="0" applyNumberFormat="1" applyFont="1" applyBorder="1" applyAlignment="1">
      <alignment wrapText="1"/>
    </xf>
    <xf numFmtId="3" fontId="36" fillId="0" borderId="19" xfId="0" applyNumberFormat="1" applyFont="1" applyBorder="1" applyAlignment="1">
      <alignment wrapText="1"/>
    </xf>
    <xf numFmtId="4" fontId="36" fillId="0" borderId="24" xfId="0" applyNumberFormat="1" applyFont="1" applyBorder="1" applyAlignment="1">
      <alignment wrapText="1"/>
    </xf>
    <xf numFmtId="9" fontId="36" fillId="0" borderId="16" xfId="68" applyFont="1" applyBorder="1" applyAlignment="1">
      <alignment wrapText="1"/>
    </xf>
    <xf numFmtId="9" fontId="36" fillId="0" borderId="19" xfId="68" applyFont="1" applyBorder="1" applyAlignment="1">
      <alignment wrapText="1"/>
    </xf>
    <xf numFmtId="0" fontId="39" fillId="0" borderId="29" xfId="0" applyFont="1" applyBorder="1" applyAlignment="1">
      <alignment/>
    </xf>
    <xf numFmtId="3" fontId="60" fillId="0" borderId="29" xfId="0" applyNumberFormat="1" applyFont="1" applyBorder="1" applyAlignment="1">
      <alignment/>
    </xf>
    <xf numFmtId="4" fontId="39" fillId="0" borderId="29" xfId="0" applyNumberFormat="1" applyFont="1" applyBorder="1" applyAlignment="1">
      <alignment/>
    </xf>
    <xf numFmtId="0" fontId="76" fillId="0" borderId="0" xfId="0" applyFont="1" applyAlignment="1">
      <alignment/>
    </xf>
    <xf numFmtId="0" fontId="77" fillId="0" borderId="32" xfId="0" applyFont="1" applyFill="1" applyBorder="1" applyAlignment="1">
      <alignment/>
    </xf>
    <xf numFmtId="0" fontId="43" fillId="0" borderId="32" xfId="0" applyFont="1" applyFill="1" applyBorder="1" applyAlignment="1">
      <alignment/>
    </xf>
    <xf numFmtId="0" fontId="49" fillId="0" borderId="0" xfId="63" applyFont="1">
      <alignment/>
      <protection/>
    </xf>
    <xf numFmtId="0" fontId="18" fillId="0" borderId="0" xfId="63" applyFont="1">
      <alignment/>
      <protection/>
    </xf>
    <xf numFmtId="0" fontId="38" fillId="0" borderId="0" xfId="63" applyFont="1">
      <alignment/>
      <protection/>
    </xf>
    <xf numFmtId="0" fontId="38" fillId="4" borderId="0" xfId="63" applyFont="1" applyFill="1">
      <alignment/>
      <protection/>
    </xf>
    <xf numFmtId="172" fontId="38" fillId="0" borderId="0" xfId="63" applyNumberFormat="1" applyFont="1">
      <alignment/>
      <protection/>
    </xf>
    <xf numFmtId="172" fontId="38" fillId="4" borderId="0" xfId="63" applyNumberFormat="1" applyFont="1" applyFill="1">
      <alignment/>
      <protection/>
    </xf>
    <xf numFmtId="183" fontId="38" fillId="0" borderId="0" xfId="63" applyNumberFormat="1" applyFont="1">
      <alignment/>
      <protection/>
    </xf>
    <xf numFmtId="0" fontId="4" fillId="0" borderId="0" xfId="63" applyFont="1">
      <alignment/>
      <protection/>
    </xf>
    <xf numFmtId="0" fontId="18" fillId="0" borderId="0" xfId="63" applyFont="1" applyBorder="1">
      <alignment/>
      <protection/>
    </xf>
    <xf numFmtId="0" fontId="18" fillId="4" borderId="0" xfId="63" applyFont="1" applyFill="1" applyBorder="1">
      <alignment/>
      <protection/>
    </xf>
    <xf numFmtId="172" fontId="18" fillId="0" borderId="0" xfId="63" applyNumberFormat="1" applyFont="1" applyBorder="1">
      <alignment/>
      <protection/>
    </xf>
    <xf numFmtId="172" fontId="38" fillId="4" borderId="0" xfId="63" applyNumberFormat="1" applyFont="1" applyFill="1" applyBorder="1">
      <alignment/>
      <protection/>
    </xf>
    <xf numFmtId="183" fontId="38" fillId="0" borderId="0" xfId="63" applyNumberFormat="1" applyFont="1" applyBorder="1">
      <alignment/>
      <protection/>
    </xf>
    <xf numFmtId="0" fontId="4" fillId="0" borderId="0" xfId="63" applyFont="1" applyBorder="1">
      <alignment/>
      <protection/>
    </xf>
    <xf numFmtId="0" fontId="44" fillId="0" borderId="11" xfId="63" applyFont="1" applyBorder="1" applyAlignment="1">
      <alignment horizontal="center"/>
      <protection/>
    </xf>
    <xf numFmtId="183" fontId="44" fillId="0" borderId="11" xfId="63" applyNumberFormat="1" applyFont="1" applyBorder="1" applyAlignment="1">
      <alignment horizontal="center"/>
      <protection/>
    </xf>
    <xf numFmtId="0" fontId="44" fillId="4" borderId="11" xfId="63" applyFont="1" applyFill="1" applyBorder="1" applyAlignment="1">
      <alignment horizontal="center"/>
      <protection/>
    </xf>
    <xf numFmtId="172" fontId="44" fillId="0" borderId="11" xfId="63" applyNumberFormat="1" applyFont="1" applyBorder="1" applyAlignment="1">
      <alignment horizontal="center"/>
      <protection/>
    </xf>
    <xf numFmtId="172" fontId="44" fillId="4" borderId="11" xfId="63" applyNumberFormat="1" applyFont="1" applyFill="1" applyBorder="1" applyAlignment="1">
      <alignment horizontal="center"/>
      <protection/>
    </xf>
    <xf numFmtId="183" fontId="44" fillId="4" borderId="11" xfId="63" applyNumberFormat="1" applyFont="1" applyFill="1" applyBorder="1" applyAlignment="1">
      <alignment horizontal="center"/>
      <protection/>
    </xf>
    <xf numFmtId="0" fontId="48" fillId="0" borderId="15" xfId="63" applyFont="1" applyBorder="1">
      <alignment/>
      <protection/>
    </xf>
    <xf numFmtId="0" fontId="79" fillId="0" borderId="28" xfId="63" applyFont="1" applyBorder="1" applyAlignment="1">
      <alignment horizontal="center"/>
      <protection/>
    </xf>
    <xf numFmtId="3" fontId="47" fillId="0" borderId="28" xfId="63" applyNumberFormat="1" applyFont="1" applyFill="1" applyBorder="1">
      <alignment/>
      <protection/>
    </xf>
    <xf numFmtId="4" fontId="47" fillId="0" borderId="28" xfId="63" applyNumberFormat="1" applyFont="1" applyFill="1" applyBorder="1">
      <alignment/>
      <protection/>
    </xf>
    <xf numFmtId="0" fontId="48" fillId="0" borderId="0" xfId="63" applyFont="1" applyBorder="1">
      <alignment/>
      <protection/>
    </xf>
    <xf numFmtId="0" fontId="24" fillId="0" borderId="15" xfId="63" applyFont="1" applyBorder="1">
      <alignment/>
      <protection/>
    </xf>
    <xf numFmtId="3" fontId="24" fillId="0" borderId="15" xfId="63" applyNumberFormat="1" applyFont="1" applyFill="1" applyBorder="1">
      <alignment/>
      <protection/>
    </xf>
    <xf numFmtId="4" fontId="24" fillId="0" borderId="15" xfId="63" applyNumberFormat="1" applyFont="1" applyFill="1" applyBorder="1">
      <alignment/>
      <protection/>
    </xf>
    <xf numFmtId="0" fontId="49" fillId="0" borderId="0" xfId="63" applyFont="1" applyBorder="1">
      <alignment/>
      <protection/>
    </xf>
    <xf numFmtId="0" fontId="26" fillId="0" borderId="15" xfId="63" applyFont="1" applyBorder="1">
      <alignment/>
      <protection/>
    </xf>
    <xf numFmtId="3" fontId="26" fillId="0" borderId="15" xfId="63" applyNumberFormat="1" applyFont="1" applyFill="1" applyBorder="1">
      <alignment/>
      <protection/>
    </xf>
    <xf numFmtId="4" fontId="26" fillId="0" borderId="15" xfId="63" applyNumberFormat="1" applyFont="1" applyFill="1" applyBorder="1">
      <alignment/>
      <protection/>
    </xf>
    <xf numFmtId="3" fontId="26" fillId="4" borderId="15" xfId="63" applyNumberFormat="1" applyFont="1" applyFill="1" applyBorder="1">
      <alignment/>
      <protection/>
    </xf>
    <xf numFmtId="172" fontId="65" fillId="0" borderId="15" xfId="63" applyNumberFormat="1" applyFont="1" applyFill="1" applyBorder="1">
      <alignment/>
      <protection/>
    </xf>
    <xf numFmtId="4" fontId="26" fillId="0" borderId="15" xfId="63" applyNumberFormat="1" applyFont="1" applyBorder="1">
      <alignment/>
      <protection/>
    </xf>
    <xf numFmtId="183" fontId="26" fillId="0" borderId="15" xfId="63" applyNumberFormat="1" applyFont="1" applyBorder="1">
      <alignment/>
      <protection/>
    </xf>
    <xf numFmtId="183" fontId="26" fillId="0" borderId="15" xfId="63" applyNumberFormat="1" applyFont="1" applyFill="1" applyBorder="1">
      <alignment/>
      <protection/>
    </xf>
    <xf numFmtId="0" fontId="80" fillId="0" borderId="24" xfId="63" applyFont="1" applyBorder="1">
      <alignment/>
      <protection/>
    </xf>
    <xf numFmtId="3" fontId="26" fillId="0" borderId="24" xfId="63" applyNumberFormat="1" applyFont="1" applyBorder="1">
      <alignment/>
      <protection/>
    </xf>
    <xf numFmtId="3" fontId="26" fillId="4" borderId="24" xfId="63" applyNumberFormat="1" applyFont="1" applyFill="1" applyBorder="1">
      <alignment/>
      <protection/>
    </xf>
    <xf numFmtId="0" fontId="4" fillId="0" borderId="24" xfId="63" applyFont="1" applyBorder="1">
      <alignment/>
      <protection/>
    </xf>
    <xf numFmtId="183" fontId="59" fillId="0" borderId="24" xfId="63" applyNumberFormat="1" applyFont="1" applyBorder="1">
      <alignment/>
      <protection/>
    </xf>
    <xf numFmtId="183" fontId="26" fillId="0" borderId="24" xfId="63" applyNumberFormat="1" applyFont="1" applyBorder="1">
      <alignment/>
      <protection/>
    </xf>
    <xf numFmtId="183" fontId="26" fillId="0" borderId="24" xfId="63" applyNumberFormat="1" applyFont="1" applyBorder="1">
      <alignment/>
      <protection/>
    </xf>
    <xf numFmtId="3" fontId="26" fillId="0" borderId="15" xfId="63" applyNumberFormat="1" applyFont="1" applyBorder="1">
      <alignment/>
      <protection/>
    </xf>
    <xf numFmtId="172" fontId="26" fillId="0" borderId="15" xfId="63" applyNumberFormat="1" applyFont="1" applyBorder="1">
      <alignment/>
      <protection/>
    </xf>
    <xf numFmtId="172" fontId="26" fillId="4" borderId="15" xfId="63" applyNumberFormat="1" applyFont="1" applyFill="1" applyBorder="1">
      <alignment/>
      <protection/>
    </xf>
    <xf numFmtId="183" fontId="26" fillId="4" borderId="15" xfId="63" applyNumberFormat="1" applyFont="1" applyFill="1" applyBorder="1">
      <alignment/>
      <protection/>
    </xf>
    <xf numFmtId="3" fontId="24" fillId="0" borderId="15" xfId="63" applyNumberFormat="1" applyFont="1" applyBorder="1">
      <alignment/>
      <protection/>
    </xf>
    <xf numFmtId="3" fontId="24" fillId="4" borderId="15" xfId="63" applyNumberFormat="1" applyFont="1" applyFill="1" applyBorder="1">
      <alignment/>
      <protection/>
    </xf>
    <xf numFmtId="172" fontId="24" fillId="0" borderId="15" xfId="63" applyNumberFormat="1" applyFont="1" applyBorder="1">
      <alignment/>
      <protection/>
    </xf>
    <xf numFmtId="172" fontId="24" fillId="4" borderId="15" xfId="63" applyNumberFormat="1" applyFont="1" applyFill="1" applyBorder="1">
      <alignment/>
      <protection/>
    </xf>
    <xf numFmtId="183" fontId="24" fillId="0" borderId="15" xfId="63" applyNumberFormat="1" applyFont="1" applyBorder="1">
      <alignment/>
      <protection/>
    </xf>
    <xf numFmtId="3" fontId="51" fillId="0" borderId="15" xfId="63" applyNumberFormat="1" applyFont="1" applyBorder="1">
      <alignment/>
      <protection/>
    </xf>
    <xf numFmtId="3" fontId="24" fillId="4" borderId="15" xfId="63" applyNumberFormat="1" applyFont="1" applyFill="1" applyBorder="1">
      <alignment/>
      <protection/>
    </xf>
    <xf numFmtId="3" fontId="51" fillId="0" borderId="15" xfId="63" applyNumberFormat="1" applyFont="1" applyBorder="1">
      <alignment/>
      <protection/>
    </xf>
    <xf numFmtId="4" fontId="51" fillId="0" borderId="15" xfId="63" applyNumberFormat="1" applyFont="1" applyBorder="1">
      <alignment/>
      <protection/>
    </xf>
    <xf numFmtId="0" fontId="4" fillId="0" borderId="15" xfId="63" applyFont="1" applyBorder="1">
      <alignment/>
      <protection/>
    </xf>
    <xf numFmtId="0" fontId="26" fillId="0" borderId="15" xfId="63" applyFont="1" applyFill="1" applyBorder="1">
      <alignment/>
      <protection/>
    </xf>
    <xf numFmtId="172" fontId="0" fillId="0" borderId="15" xfId="63" applyNumberFormat="1" applyFont="1" applyBorder="1">
      <alignment/>
      <protection/>
    </xf>
    <xf numFmtId="183" fontId="26" fillId="0" borderId="15" xfId="63" applyNumberFormat="1" applyFont="1" applyBorder="1">
      <alignment/>
      <protection/>
    </xf>
    <xf numFmtId="0" fontId="26" fillId="4" borderId="15" xfId="63" applyFont="1" applyFill="1" applyBorder="1">
      <alignment/>
      <protection/>
    </xf>
    <xf numFmtId="0" fontId="4" fillId="4" borderId="15" xfId="63" applyFont="1" applyFill="1" applyBorder="1">
      <alignment/>
      <protection/>
    </xf>
    <xf numFmtId="172" fontId="4" fillId="0" borderId="15" xfId="63" applyNumberFormat="1" applyFont="1" applyBorder="1">
      <alignment/>
      <protection/>
    </xf>
    <xf numFmtId="172" fontId="26" fillId="4" borderId="15" xfId="63" applyNumberFormat="1" applyFont="1" applyFill="1" applyBorder="1">
      <alignment/>
      <protection/>
    </xf>
    <xf numFmtId="183" fontId="26" fillId="4" borderId="15" xfId="63" applyNumberFormat="1" applyFont="1" applyFill="1" applyBorder="1">
      <alignment/>
      <protection/>
    </xf>
    <xf numFmtId="0" fontId="18" fillId="0" borderId="15" xfId="63" applyFont="1" applyBorder="1">
      <alignment/>
      <protection/>
    </xf>
    <xf numFmtId="0" fontId="18" fillId="4" borderId="15" xfId="63" applyFont="1" applyFill="1" applyBorder="1">
      <alignment/>
      <protection/>
    </xf>
    <xf numFmtId="183" fontId="26" fillId="0" borderId="15" xfId="63" applyNumberFormat="1" applyFont="1" applyBorder="1" applyAlignment="1">
      <alignment vertical="center"/>
      <protection/>
    </xf>
    <xf numFmtId="183" fontId="26" fillId="4" borderId="15" xfId="63" applyNumberFormat="1" applyFont="1" applyFill="1" applyBorder="1" applyAlignment="1">
      <alignment vertical="center"/>
      <protection/>
    </xf>
    <xf numFmtId="172" fontId="26" fillId="0" borderId="15" xfId="45" applyNumberFormat="1" applyFont="1" applyBorder="1" applyAlignment="1">
      <alignment/>
    </xf>
    <xf numFmtId="183" fontId="28" fillId="0" borderId="15" xfId="63" applyNumberFormat="1" applyFont="1" applyBorder="1" applyAlignment="1">
      <alignment vertical="center"/>
      <protection/>
    </xf>
    <xf numFmtId="183" fontId="28" fillId="4" borderId="15" xfId="63" applyNumberFormat="1" applyFont="1" applyFill="1" applyBorder="1" applyAlignment="1">
      <alignment vertical="center"/>
      <protection/>
    </xf>
    <xf numFmtId="0" fontId="26" fillId="0" borderId="16" xfId="63" applyFont="1" applyFill="1" applyBorder="1">
      <alignment/>
      <protection/>
    </xf>
    <xf numFmtId="0" fontId="80" fillId="0" borderId="16" xfId="63" applyFont="1" applyBorder="1" applyAlignment="1">
      <alignment horizontal="left" vertical="center" wrapText="1"/>
      <protection/>
    </xf>
    <xf numFmtId="183" fontId="26" fillId="0" borderId="15" xfId="45" applyNumberFormat="1" applyFont="1" applyBorder="1" applyAlignment="1">
      <alignment/>
    </xf>
    <xf numFmtId="4" fontId="26" fillId="4" borderId="15" xfId="63" applyNumberFormat="1" applyFont="1" applyFill="1" applyBorder="1">
      <alignment/>
      <protection/>
    </xf>
    <xf numFmtId="183" fontId="59" fillId="0" borderId="15" xfId="63" applyNumberFormat="1" applyFont="1" applyBorder="1">
      <alignment/>
      <protection/>
    </xf>
    <xf numFmtId="2" fontId="26" fillId="0" borderId="15" xfId="63" applyNumberFormat="1" applyFont="1" applyBorder="1">
      <alignment/>
      <protection/>
    </xf>
    <xf numFmtId="2" fontId="59" fillId="0" borderId="15" xfId="63" applyNumberFormat="1" applyFont="1" applyBorder="1">
      <alignment/>
      <protection/>
    </xf>
    <xf numFmtId="2" fontId="26" fillId="0" borderId="15" xfId="63" applyNumberFormat="1" applyFont="1" applyBorder="1">
      <alignment/>
      <protection/>
    </xf>
    <xf numFmtId="0" fontId="80" fillId="0" borderId="15" xfId="63" applyFont="1" applyBorder="1">
      <alignment/>
      <protection/>
    </xf>
    <xf numFmtId="0" fontId="76" fillId="0" borderId="29" xfId="63" applyFont="1" applyBorder="1">
      <alignment/>
      <protection/>
    </xf>
    <xf numFmtId="172" fontId="26" fillId="0" borderId="29" xfId="63" applyNumberFormat="1" applyFont="1" applyFill="1" applyBorder="1">
      <alignment/>
      <protection/>
    </xf>
    <xf numFmtId="3" fontId="25" fillId="0" borderId="29" xfId="63" applyNumberFormat="1" applyFont="1" applyBorder="1">
      <alignment/>
      <protection/>
    </xf>
    <xf numFmtId="3" fontId="26" fillId="4" borderId="29" xfId="63" applyNumberFormat="1" applyFont="1" applyFill="1" applyBorder="1">
      <alignment/>
      <protection/>
    </xf>
    <xf numFmtId="0" fontId="76" fillId="0" borderId="29" xfId="63" applyFont="1" applyFill="1" applyBorder="1">
      <alignment/>
      <protection/>
    </xf>
    <xf numFmtId="172" fontId="25" fillId="0" borderId="29" xfId="63" applyNumberFormat="1" applyFont="1" applyFill="1" applyBorder="1">
      <alignment/>
      <protection/>
    </xf>
    <xf numFmtId="3" fontId="25" fillId="0" borderId="29" xfId="63" applyNumberFormat="1" applyFont="1" applyFill="1" applyBorder="1">
      <alignment/>
      <protection/>
    </xf>
    <xf numFmtId="3" fontId="25" fillId="4" borderId="29" xfId="63" applyNumberFormat="1" applyFont="1" applyFill="1" applyBorder="1">
      <alignment/>
      <protection/>
    </xf>
    <xf numFmtId="183" fontId="26" fillId="0" borderId="29" xfId="63" applyNumberFormat="1" applyFont="1" applyBorder="1">
      <alignment/>
      <protection/>
    </xf>
    <xf numFmtId="183" fontId="59" fillId="0" borderId="29" xfId="63" applyNumberFormat="1" applyFont="1" applyBorder="1">
      <alignment/>
      <protection/>
    </xf>
    <xf numFmtId="183" fontId="26" fillId="0" borderId="29" xfId="63" applyNumberFormat="1" applyFont="1" applyBorder="1">
      <alignment/>
      <protection/>
    </xf>
    <xf numFmtId="0" fontId="76" fillId="0" borderId="0" xfId="63" applyFont="1" applyBorder="1">
      <alignment/>
      <protection/>
    </xf>
    <xf numFmtId="0" fontId="4" fillId="4" borderId="0" xfId="63" applyFont="1" applyFill="1" applyBorder="1">
      <alignment/>
      <protection/>
    </xf>
    <xf numFmtId="172" fontId="4" fillId="0" borderId="0" xfId="63" applyNumberFormat="1" applyFont="1" applyBorder="1">
      <alignment/>
      <protection/>
    </xf>
    <xf numFmtId="172" fontId="4" fillId="4" borderId="0" xfId="63" applyNumberFormat="1" applyFont="1" applyFill="1" applyBorder="1">
      <alignment/>
      <protection/>
    </xf>
    <xf numFmtId="183" fontId="4" fillId="0" borderId="0" xfId="63" applyNumberFormat="1" applyFont="1" applyBorder="1">
      <alignment/>
      <protection/>
    </xf>
    <xf numFmtId="183" fontId="4" fillId="4" borderId="0" xfId="63" applyNumberFormat="1" applyFont="1" applyFill="1" applyBorder="1">
      <alignment/>
      <protection/>
    </xf>
    <xf numFmtId="0" fontId="4" fillId="4" borderId="0" xfId="63" applyFont="1" applyFill="1">
      <alignment/>
      <protection/>
    </xf>
    <xf numFmtId="172" fontId="4" fillId="0" borderId="0" xfId="63" applyNumberFormat="1" applyFont="1">
      <alignment/>
      <protection/>
    </xf>
    <xf numFmtId="172" fontId="4" fillId="4" borderId="0" xfId="63" applyNumberFormat="1" applyFont="1" applyFill="1">
      <alignment/>
      <protection/>
    </xf>
    <xf numFmtId="183" fontId="4" fillId="0" borderId="0" xfId="63" applyNumberFormat="1" applyFont="1">
      <alignment/>
      <protection/>
    </xf>
    <xf numFmtId="183" fontId="4" fillId="4" borderId="0" xfId="63" applyNumberFormat="1" applyFont="1" applyFill="1">
      <alignment/>
      <protection/>
    </xf>
    <xf numFmtId="4" fontId="24" fillId="0" borderId="18" xfId="62" applyNumberFormat="1" applyFont="1" applyFill="1" applyBorder="1">
      <alignment/>
      <protection/>
    </xf>
    <xf numFmtId="4" fontId="24" fillId="0" borderId="20" xfId="62" applyNumberFormat="1" applyFont="1" applyFill="1" applyBorder="1">
      <alignment/>
      <protection/>
    </xf>
    <xf numFmtId="0" fontId="24" fillId="0" borderId="0" xfId="0" applyFont="1" applyAlignment="1">
      <alignment horizontal="center"/>
    </xf>
    <xf numFmtId="0" fontId="49" fillId="0" borderId="0" xfId="0" applyFont="1" applyFill="1" applyBorder="1" applyAlignment="1">
      <alignment horizontal="left"/>
    </xf>
    <xf numFmtId="0" fontId="18" fillId="0" borderId="0" xfId="0" applyFont="1" applyFill="1" applyBorder="1" applyAlignment="1">
      <alignment/>
    </xf>
    <xf numFmtId="1" fontId="18" fillId="0" borderId="0" xfId="0" applyNumberFormat="1" applyFont="1" applyFill="1" applyBorder="1" applyAlignment="1">
      <alignment horizontal="left"/>
    </xf>
    <xf numFmtId="3" fontId="18" fillId="0" borderId="0" xfId="0" applyNumberFormat="1" applyFont="1" applyFill="1" applyBorder="1" applyAlignment="1">
      <alignment/>
    </xf>
    <xf numFmtId="177" fontId="18" fillId="0" borderId="0" xfId="0" applyNumberFormat="1" applyFont="1" applyFill="1" applyBorder="1" applyAlignment="1">
      <alignment/>
    </xf>
    <xf numFmtId="177" fontId="18" fillId="0" borderId="0" xfId="0" applyNumberFormat="1" applyFont="1" applyFill="1" applyBorder="1" applyAlignment="1">
      <alignment horizontal="centerContinuous"/>
    </xf>
    <xf numFmtId="9" fontId="49" fillId="0" borderId="0" xfId="68" applyFont="1" applyFill="1" applyBorder="1" applyAlignment="1">
      <alignment horizontal="right"/>
    </xf>
    <xf numFmtId="0" fontId="18" fillId="0" borderId="0" xfId="0" applyFont="1" applyFill="1" applyBorder="1" applyAlignment="1">
      <alignment horizontal="left"/>
    </xf>
    <xf numFmtId="9" fontId="18" fillId="0" borderId="0" xfId="68" applyFont="1" applyFill="1" applyBorder="1" applyAlignment="1">
      <alignment horizontal="right"/>
    </xf>
    <xf numFmtId="1" fontId="36" fillId="0" borderId="10" xfId="0" applyNumberFormat="1" applyFont="1" applyFill="1" applyBorder="1" applyAlignment="1">
      <alignment horizontal="left" vertical="center" wrapText="1"/>
    </xf>
    <xf numFmtId="177" fontId="36" fillId="0" borderId="11" xfId="0" applyNumberFormat="1" applyFont="1" applyFill="1" applyBorder="1" applyAlignment="1">
      <alignment horizontal="center" vertical="center" wrapText="1"/>
    </xf>
    <xf numFmtId="0" fontId="49" fillId="0" borderId="28" xfId="0" applyFont="1" applyFill="1" applyBorder="1" applyAlignment="1">
      <alignment horizontal="center" vertical="center" wrapText="1"/>
    </xf>
    <xf numFmtId="3" fontId="49" fillId="0" borderId="28" xfId="0" applyNumberFormat="1" applyFont="1" applyFill="1" applyBorder="1" applyAlignment="1">
      <alignment horizontal="center" vertical="center" wrapText="1"/>
    </xf>
    <xf numFmtId="1" fontId="36" fillId="0" borderId="11" xfId="0" applyNumberFormat="1" applyFont="1" applyFill="1" applyBorder="1" applyAlignment="1">
      <alignment horizontal="left" vertical="center" wrapText="1"/>
    </xf>
    <xf numFmtId="0" fontId="49" fillId="0" borderId="15" xfId="0" applyFont="1" applyFill="1" applyBorder="1" applyAlignment="1">
      <alignment horizontal="center" vertical="center" wrapText="1"/>
    </xf>
    <xf numFmtId="3" fontId="49" fillId="0" borderId="15" xfId="0" applyNumberFormat="1" applyFont="1" applyFill="1" applyBorder="1" applyAlignment="1">
      <alignment horizontal="center" vertical="center" wrapText="1"/>
    </xf>
    <xf numFmtId="0" fontId="81" fillId="0" borderId="16" xfId="0" applyFont="1" applyFill="1" applyBorder="1" applyAlignment="1">
      <alignment horizontal="left"/>
    </xf>
    <xf numFmtId="49" fontId="56" fillId="0" borderId="16" xfId="0" applyNumberFormat="1" applyFont="1" applyFill="1" applyBorder="1" applyAlignment="1">
      <alignment horizontal="center"/>
    </xf>
    <xf numFmtId="1" fontId="56" fillId="0" borderId="16" xfId="0" applyNumberFormat="1" applyFont="1" applyFill="1" applyBorder="1" applyAlignment="1" quotePrefix="1">
      <alignment horizontal="left"/>
    </xf>
    <xf numFmtId="3" fontId="56" fillId="0" borderId="16" xfId="0" applyNumberFormat="1" applyFont="1" applyFill="1" applyBorder="1" applyAlignment="1" quotePrefix="1">
      <alignment horizontal="right"/>
    </xf>
    <xf numFmtId="4" fontId="56" fillId="0" borderId="16" xfId="0" applyNumberFormat="1" applyFont="1" applyFill="1" applyBorder="1" applyAlignment="1" quotePrefix="1">
      <alignment horizontal="right"/>
    </xf>
    <xf numFmtId="9" fontId="56" fillId="0" borderId="16" xfId="68" applyFont="1" applyFill="1" applyBorder="1" applyAlignment="1" quotePrefix="1">
      <alignment horizontal="right"/>
    </xf>
    <xf numFmtId="0" fontId="82" fillId="0" borderId="15" xfId="0" applyFont="1" applyFill="1" applyBorder="1" applyAlignment="1">
      <alignment/>
    </xf>
    <xf numFmtId="3" fontId="82" fillId="0" borderId="15" xfId="0" applyNumberFormat="1" applyFont="1" applyFill="1" applyBorder="1" applyAlignment="1">
      <alignment/>
    </xf>
    <xf numFmtId="49" fontId="56" fillId="0" borderId="15" xfId="0" applyNumberFormat="1" applyFont="1" applyFill="1" applyBorder="1" applyAlignment="1">
      <alignment horizontal="center" vertical="center" wrapText="1"/>
    </xf>
    <xf numFmtId="49" fontId="56" fillId="0" borderId="15" xfId="0" applyNumberFormat="1" applyFont="1" applyFill="1" applyBorder="1" applyAlignment="1">
      <alignment vertical="center" wrapText="1"/>
    </xf>
    <xf numFmtId="1" fontId="56" fillId="0" borderId="15" xfId="0" applyNumberFormat="1" applyFont="1" applyFill="1" applyBorder="1" applyAlignment="1">
      <alignment horizontal="left" vertical="center" wrapText="1"/>
    </xf>
    <xf numFmtId="3" fontId="56" fillId="0" borderId="15" xfId="0" applyNumberFormat="1" applyFont="1" applyFill="1" applyBorder="1" applyAlignment="1">
      <alignment horizontal="right" vertical="center" wrapText="1"/>
    </xf>
    <xf numFmtId="4" fontId="56" fillId="0" borderId="15" xfId="0" applyNumberFormat="1" applyFont="1" applyFill="1" applyBorder="1" applyAlignment="1">
      <alignment horizontal="right" vertical="center" wrapText="1"/>
    </xf>
    <xf numFmtId="9" fontId="56" fillId="0" borderId="16" xfId="68" applyFont="1" applyFill="1" applyBorder="1" applyAlignment="1" quotePrefix="1">
      <alignment horizontal="right" vertical="center" wrapText="1"/>
    </xf>
    <xf numFmtId="9" fontId="56" fillId="0" borderId="15" xfId="68" applyFont="1" applyFill="1" applyBorder="1" applyAlignment="1">
      <alignment horizontal="right" vertical="center" wrapText="1"/>
    </xf>
    <xf numFmtId="0" fontId="83" fillId="0" borderId="15" xfId="0" applyFont="1" applyFill="1" applyBorder="1" applyAlignment="1">
      <alignment vertical="center" wrapText="1"/>
    </xf>
    <xf numFmtId="3" fontId="83" fillId="0" borderId="15" xfId="0" applyNumberFormat="1" applyFont="1" applyFill="1" applyBorder="1" applyAlignment="1">
      <alignment vertical="center" wrapText="1"/>
    </xf>
    <xf numFmtId="49" fontId="36" fillId="0" borderId="15" xfId="0" applyNumberFormat="1" applyFont="1" applyFill="1" applyBorder="1" applyAlignment="1">
      <alignment horizontal="center" vertical="center" wrapText="1"/>
    </xf>
    <xf numFmtId="49" fontId="36" fillId="0" borderId="15" xfId="0" applyNumberFormat="1" applyFont="1" applyFill="1" applyBorder="1" applyAlignment="1">
      <alignment vertical="center" wrapText="1"/>
    </xf>
    <xf numFmtId="1" fontId="36" fillId="0" borderId="15" xfId="0" applyNumberFormat="1" applyFont="1" applyFill="1" applyBorder="1" applyAlignment="1">
      <alignment horizontal="left" vertical="center" wrapText="1"/>
    </xf>
    <xf numFmtId="3" fontId="36" fillId="0" borderId="15" xfId="0" applyNumberFormat="1" applyFont="1" applyFill="1" applyBorder="1" applyAlignment="1">
      <alignment horizontal="right" vertical="center" wrapText="1"/>
    </xf>
    <xf numFmtId="4" fontId="36" fillId="0" borderId="15" xfId="0" applyNumberFormat="1" applyFont="1" applyFill="1" applyBorder="1" applyAlignment="1">
      <alignment horizontal="right" vertical="center" wrapText="1"/>
    </xf>
    <xf numFmtId="9" fontId="36" fillId="0" borderId="15" xfId="68" applyFont="1" applyFill="1" applyBorder="1" applyAlignment="1">
      <alignment horizontal="right" vertical="center" wrapText="1"/>
    </xf>
    <xf numFmtId="3" fontId="36" fillId="0" borderId="15" xfId="0" applyNumberFormat="1" applyFont="1" applyFill="1" applyBorder="1" applyAlignment="1">
      <alignment vertical="center" wrapText="1"/>
    </xf>
    <xf numFmtId="4" fontId="36" fillId="0" borderId="15" xfId="0" applyNumberFormat="1" applyFont="1" applyFill="1" applyBorder="1" applyAlignment="1">
      <alignment vertical="center" wrapText="1"/>
    </xf>
    <xf numFmtId="9" fontId="36" fillId="0" borderId="15" xfId="68" applyFont="1" applyFill="1" applyBorder="1" applyAlignment="1">
      <alignment vertical="center" wrapText="1"/>
    </xf>
    <xf numFmtId="49" fontId="39" fillId="0" borderId="15" xfId="0" applyNumberFormat="1" applyFont="1" applyFill="1" applyBorder="1" applyAlignment="1">
      <alignment horizontal="left" vertical="center" wrapText="1"/>
    </xf>
    <xf numFmtId="49" fontId="39" fillId="0" borderId="15" xfId="0" applyNumberFormat="1" applyFont="1" applyFill="1" applyBorder="1" applyAlignment="1">
      <alignment vertical="center" wrapText="1"/>
    </xf>
    <xf numFmtId="1" fontId="39" fillId="0" borderId="15" xfId="0" applyNumberFormat="1" applyFont="1" applyFill="1" applyBorder="1" applyAlignment="1">
      <alignment horizontal="left" vertical="center" wrapText="1"/>
    </xf>
    <xf numFmtId="3" fontId="39" fillId="0" borderId="15" xfId="0" applyNumberFormat="1" applyFont="1" applyFill="1" applyBorder="1" applyAlignment="1">
      <alignment vertical="center" wrapText="1"/>
    </xf>
    <xf numFmtId="4" fontId="39" fillId="0" borderId="15" xfId="0" applyNumberFormat="1" applyFont="1" applyFill="1" applyBorder="1" applyAlignment="1">
      <alignment vertical="center" wrapText="1"/>
    </xf>
    <xf numFmtId="9" fontId="39" fillId="0" borderId="16" xfId="68" applyFont="1" applyFill="1" applyBorder="1" applyAlignment="1" quotePrefix="1">
      <alignment horizontal="right" vertical="center" wrapText="1"/>
    </xf>
    <xf numFmtId="9" fontId="39" fillId="0" borderId="15" xfId="68" applyFont="1" applyFill="1" applyBorder="1" applyAlignment="1">
      <alignment horizontal="right" vertical="center" wrapText="1"/>
    </xf>
    <xf numFmtId="177" fontId="26" fillId="0" borderId="15" xfId="0" applyNumberFormat="1" applyFont="1" applyFill="1" applyBorder="1" applyAlignment="1">
      <alignment vertical="center" wrapText="1"/>
    </xf>
    <xf numFmtId="49" fontId="41" fillId="0" borderId="15" xfId="0" applyNumberFormat="1" applyFont="1" applyFill="1" applyBorder="1" applyAlignment="1">
      <alignment horizontal="left" vertical="center" wrapText="1"/>
    </xf>
    <xf numFmtId="9" fontId="36" fillId="0" borderId="16" xfId="68" applyFont="1" applyFill="1" applyBorder="1" applyAlignment="1" quotePrefix="1">
      <alignment horizontal="right" vertical="center" wrapText="1"/>
    </xf>
    <xf numFmtId="1" fontId="39" fillId="0" borderId="15" xfId="0" applyNumberFormat="1" applyFont="1" applyFill="1" applyBorder="1" applyAlignment="1" quotePrefix="1">
      <alignment horizontal="left" vertical="center" wrapText="1"/>
    </xf>
    <xf numFmtId="1" fontId="36" fillId="0" borderId="15" xfId="0" applyNumberFormat="1" applyFont="1" applyFill="1" applyBorder="1" applyAlignment="1" quotePrefix="1">
      <alignment horizontal="left" vertical="center" wrapText="1"/>
    </xf>
    <xf numFmtId="49" fontId="39" fillId="0" borderId="15" xfId="0" applyNumberFormat="1" applyFont="1" applyFill="1" applyBorder="1" applyAlignment="1">
      <alignment/>
    </xf>
    <xf numFmtId="1" fontId="39" fillId="0" borderId="15" xfId="0" applyNumberFormat="1" applyFont="1" applyFill="1" applyBorder="1" applyAlignment="1">
      <alignment horizontal="left"/>
    </xf>
    <xf numFmtId="49" fontId="39" fillId="0" borderId="15" xfId="0" applyNumberFormat="1" applyFont="1" applyFill="1" applyBorder="1" applyAlignment="1">
      <alignment horizontal="center" vertical="center" wrapText="1"/>
    </xf>
    <xf numFmtId="1" fontId="36" fillId="0" borderId="15" xfId="0" applyNumberFormat="1" applyFont="1" applyFill="1" applyBorder="1" applyAlignment="1">
      <alignment horizontal="left"/>
    </xf>
    <xf numFmtId="1" fontId="36" fillId="0" borderId="15" xfId="0" applyNumberFormat="1" applyFont="1" applyFill="1" applyBorder="1" applyAlignment="1" quotePrefix="1">
      <alignment horizontal="left"/>
    </xf>
    <xf numFmtId="3" fontId="56" fillId="0" borderId="15" xfId="0" applyNumberFormat="1" applyFont="1" applyFill="1" applyBorder="1" applyAlignment="1">
      <alignment vertical="center" wrapText="1"/>
    </xf>
    <xf numFmtId="4" fontId="56" fillId="0" borderId="15" xfId="0" applyNumberFormat="1" applyFont="1" applyFill="1" applyBorder="1" applyAlignment="1">
      <alignment vertical="center" wrapText="1"/>
    </xf>
    <xf numFmtId="0" fontId="47" fillId="0" borderId="15" xfId="0" applyFont="1" applyFill="1" applyBorder="1" applyAlignment="1">
      <alignment vertical="center" wrapText="1"/>
    </xf>
    <xf numFmtId="3" fontId="47" fillId="0" borderId="15" xfId="0" applyNumberFormat="1" applyFont="1" applyFill="1" applyBorder="1" applyAlignment="1">
      <alignment vertical="center" wrapText="1"/>
    </xf>
    <xf numFmtId="0" fontId="36" fillId="0" borderId="15" xfId="0" applyFont="1" applyFill="1" applyBorder="1" applyAlignment="1">
      <alignment vertical="center" wrapText="1"/>
    </xf>
    <xf numFmtId="0" fontId="39" fillId="0" borderId="15" xfId="0" applyFont="1" applyFill="1" applyBorder="1" applyAlignment="1">
      <alignment vertical="center" wrapText="1"/>
    </xf>
    <xf numFmtId="0" fontId="28" fillId="0" borderId="15" xfId="0" applyFont="1" applyFill="1" applyBorder="1" applyAlignment="1">
      <alignment vertical="center" wrapText="1"/>
    </xf>
    <xf numFmtId="3" fontId="28" fillId="0" borderId="15" xfId="0" applyNumberFormat="1" applyFont="1" applyFill="1" applyBorder="1" applyAlignment="1">
      <alignment vertical="center" wrapText="1"/>
    </xf>
    <xf numFmtId="49" fontId="56" fillId="0" borderId="29" xfId="0" applyNumberFormat="1" applyFont="1" applyFill="1" applyBorder="1" applyAlignment="1">
      <alignment horizontal="center" vertical="center" wrapText="1"/>
    </xf>
    <xf numFmtId="49" fontId="56" fillId="0" borderId="29" xfId="0" applyNumberFormat="1" applyFont="1" applyFill="1" applyBorder="1" applyAlignment="1">
      <alignment vertical="center" wrapText="1"/>
    </xf>
    <xf numFmtId="1" fontId="56" fillId="0" borderId="29" xfId="0" applyNumberFormat="1" applyFont="1" applyFill="1" applyBorder="1" applyAlignment="1" quotePrefix="1">
      <alignment horizontal="left" vertical="center" wrapText="1"/>
    </xf>
    <xf numFmtId="3" fontId="56" fillId="0" borderId="29" xfId="0" applyNumberFormat="1" applyFont="1" applyFill="1" applyBorder="1" applyAlignment="1">
      <alignment vertical="center" wrapText="1"/>
    </xf>
    <xf numFmtId="4" fontId="56" fillId="0" borderId="29" xfId="0" applyNumberFormat="1" applyFont="1" applyFill="1" applyBorder="1" applyAlignment="1">
      <alignment vertical="center" wrapText="1"/>
    </xf>
    <xf numFmtId="9" fontId="56" fillId="0" borderId="29" xfId="68" applyFont="1" applyFill="1" applyBorder="1" applyAlignment="1" quotePrefix="1">
      <alignment horizontal="right" vertical="center" wrapText="1"/>
    </xf>
    <xf numFmtId="9" fontId="56" fillId="0" borderId="29" xfId="68" applyFont="1" applyFill="1" applyBorder="1" applyAlignment="1">
      <alignment horizontal="right" vertical="center" wrapText="1"/>
    </xf>
    <xf numFmtId="0" fontId="18" fillId="0" borderId="0" xfId="0" applyFont="1" applyFill="1" applyBorder="1" applyAlignment="1">
      <alignment horizontal="left" vertical="center" wrapText="1"/>
    </xf>
    <xf numFmtId="0" fontId="43" fillId="0" borderId="0" xfId="0" applyFont="1" applyFill="1" applyBorder="1" applyAlignment="1">
      <alignment vertical="center" wrapText="1"/>
    </xf>
    <xf numFmtId="1" fontId="18" fillId="0" borderId="0" xfId="0" applyNumberFormat="1" applyFont="1" applyFill="1" applyBorder="1" applyAlignment="1">
      <alignment horizontal="left" vertical="center" wrapText="1"/>
    </xf>
    <xf numFmtId="3" fontId="18" fillId="0" borderId="0" xfId="0" applyNumberFormat="1" applyFont="1" applyFill="1" applyBorder="1" applyAlignment="1">
      <alignment vertical="center" wrapText="1"/>
    </xf>
    <xf numFmtId="177" fontId="18" fillId="0" borderId="0" xfId="0" applyNumberFormat="1" applyFont="1" applyFill="1" applyBorder="1" applyAlignment="1">
      <alignment vertical="center" wrapText="1"/>
    </xf>
    <xf numFmtId="9" fontId="18" fillId="0" borderId="0" xfId="68" applyFont="1" applyFill="1" applyBorder="1" applyAlignment="1">
      <alignment horizontal="right" vertical="center" wrapText="1"/>
    </xf>
    <xf numFmtId="0" fontId="18" fillId="0" borderId="0" xfId="0" applyFont="1" applyFill="1" applyBorder="1" applyAlignment="1">
      <alignment vertical="center" wrapText="1"/>
    </xf>
    <xf numFmtId="1" fontId="41" fillId="0" borderId="0" xfId="0" applyNumberFormat="1" applyFont="1" applyFill="1" applyBorder="1" applyAlignment="1">
      <alignment horizontal="left"/>
    </xf>
    <xf numFmtId="0" fontId="43" fillId="0" borderId="0" xfId="0" applyFont="1" applyFill="1" applyBorder="1" applyAlignment="1">
      <alignment/>
    </xf>
    <xf numFmtId="3" fontId="43" fillId="0" borderId="0" xfId="0" applyNumberFormat="1" applyFont="1" applyFill="1" applyBorder="1" applyAlignment="1">
      <alignment/>
    </xf>
    <xf numFmtId="3" fontId="49" fillId="0" borderId="0" xfId="0" applyNumberFormat="1" applyFont="1" applyFill="1" applyBorder="1" applyAlignment="1">
      <alignment horizontal="center"/>
    </xf>
    <xf numFmtId="1" fontId="49" fillId="0" borderId="0" xfId="0" applyNumberFormat="1" applyFont="1" applyFill="1" applyBorder="1" applyAlignment="1">
      <alignment horizontal="left"/>
    </xf>
    <xf numFmtId="3" fontId="49" fillId="0" borderId="0" xfId="0" applyNumberFormat="1" applyFont="1" applyFill="1" applyBorder="1" applyAlignment="1">
      <alignment/>
    </xf>
    <xf numFmtId="0" fontId="49" fillId="0" borderId="0" xfId="0" applyFont="1" applyFill="1" applyBorder="1" applyAlignment="1">
      <alignment/>
    </xf>
    <xf numFmtId="0" fontId="48" fillId="0" borderId="0" xfId="0" applyFont="1" applyFill="1" applyBorder="1" applyAlignment="1">
      <alignment/>
    </xf>
    <xf numFmtId="177" fontId="49" fillId="0" borderId="0" xfId="0" applyNumberFormat="1" applyFont="1" applyFill="1" applyBorder="1" applyAlignment="1">
      <alignment/>
    </xf>
    <xf numFmtId="0" fontId="84" fillId="0" borderId="0" xfId="0" applyFont="1" applyFill="1" applyBorder="1" applyAlignment="1">
      <alignment/>
    </xf>
    <xf numFmtId="177" fontId="18" fillId="0" borderId="0" xfId="0" applyNumberFormat="1" applyFont="1" applyFill="1" applyBorder="1" applyAlignment="1">
      <alignment horizontal="center"/>
    </xf>
    <xf numFmtId="0" fontId="43" fillId="0" borderId="0" xfId="0" applyFont="1" applyFill="1" applyBorder="1" applyAlignment="1">
      <alignment horizontal="left"/>
    </xf>
    <xf numFmtId="1" fontId="43" fillId="0" borderId="0" xfId="0" applyNumberFormat="1" applyFont="1" applyFill="1" applyBorder="1" applyAlignment="1">
      <alignment horizontal="left"/>
    </xf>
    <xf numFmtId="3" fontId="43" fillId="0" borderId="0" xfId="0" applyNumberFormat="1" applyFont="1" applyFill="1" applyBorder="1" applyAlignment="1">
      <alignment horizontal="left"/>
    </xf>
    <xf numFmtId="177" fontId="43" fillId="0" borderId="0" xfId="0" applyNumberFormat="1" applyFont="1" applyFill="1" applyBorder="1" applyAlignment="1">
      <alignment horizontal="left"/>
    </xf>
    <xf numFmtId="9" fontId="43" fillId="0" borderId="0" xfId="68" applyFont="1" applyFill="1" applyBorder="1" applyAlignment="1">
      <alignment horizontal="right"/>
    </xf>
    <xf numFmtId="0" fontId="26" fillId="0" borderId="0" xfId="0" applyFont="1" applyAlignment="1">
      <alignment wrapText="1"/>
    </xf>
    <xf numFmtId="0" fontId="18" fillId="0" borderId="0" xfId="0" applyFont="1" applyAlignment="1">
      <alignment/>
    </xf>
    <xf numFmtId="0" fontId="80" fillId="0" borderId="0" xfId="0" applyFont="1" applyAlignment="1">
      <alignment horizontal="center"/>
    </xf>
    <xf numFmtId="0" fontId="0" fillId="0" borderId="0" xfId="0" applyFont="1" applyAlignment="1">
      <alignment/>
    </xf>
    <xf numFmtId="0" fontId="18" fillId="0" borderId="0" xfId="0" applyFont="1" applyAlignment="1">
      <alignment horizontal="center"/>
    </xf>
    <xf numFmtId="0" fontId="18" fillId="0" borderId="0" xfId="0" applyFont="1" applyAlignment="1">
      <alignment horizontal="center" wrapText="1"/>
    </xf>
    <xf numFmtId="0" fontId="80" fillId="0" borderId="0" xfId="0" applyFont="1" applyAlignment="1">
      <alignment/>
    </xf>
    <xf numFmtId="0" fontId="26" fillId="0" borderId="13" xfId="0" applyFont="1" applyBorder="1" applyAlignment="1">
      <alignment horizontal="center"/>
    </xf>
    <xf numFmtId="0" fontId="26" fillId="0" borderId="11" xfId="0" applyFont="1" applyBorder="1" applyAlignment="1">
      <alignment horizontal="center"/>
    </xf>
    <xf numFmtId="0" fontId="26" fillId="0" borderId="10" xfId="0" applyFont="1" applyBorder="1" applyAlignment="1">
      <alignment horizontal="center"/>
    </xf>
    <xf numFmtId="0" fontId="0" fillId="0" borderId="28" xfId="0" applyFont="1" applyBorder="1" applyAlignment="1">
      <alignment horizontal="center" vertical="center" wrapText="1"/>
    </xf>
    <xf numFmtId="0" fontId="89" fillId="0" borderId="28" xfId="0" applyFont="1" applyBorder="1" applyAlignment="1">
      <alignment horizontal="center" vertical="center" wrapText="1"/>
    </xf>
    <xf numFmtId="3" fontId="47" fillId="0" borderId="14" xfId="0" applyNumberFormat="1" applyFont="1" applyBorder="1" applyAlignment="1">
      <alignment horizontal="right"/>
    </xf>
    <xf numFmtId="4" fontId="47" fillId="0" borderId="14" xfId="0" applyNumberFormat="1" applyFont="1" applyBorder="1" applyAlignment="1">
      <alignment horizontal="right"/>
    </xf>
    <xf numFmtId="9" fontId="47" fillId="0" borderId="14" xfId="68" applyFont="1" applyBorder="1" applyAlignment="1">
      <alignment horizontal="right"/>
    </xf>
    <xf numFmtId="9" fontId="47" fillId="0" borderId="28" xfId="68" applyFont="1" applyBorder="1" applyAlignment="1">
      <alignment horizontal="right"/>
    </xf>
    <xf numFmtId="0" fontId="44" fillId="0" borderId="16" xfId="0" applyFont="1" applyBorder="1" applyAlignment="1">
      <alignment/>
    </xf>
    <xf numFmtId="0" fontId="24" fillId="0" borderId="16" xfId="0" applyFont="1" applyBorder="1" applyAlignment="1">
      <alignment wrapText="1"/>
    </xf>
    <xf numFmtId="4" fontId="24" fillId="0" borderId="16" xfId="0" applyNumberFormat="1" applyFont="1" applyBorder="1" applyAlignment="1">
      <alignment/>
    </xf>
    <xf numFmtId="0" fontId="88" fillId="0" borderId="16" xfId="0" applyFont="1" applyBorder="1" applyAlignment="1">
      <alignment/>
    </xf>
    <xf numFmtId="0" fontId="26" fillId="0" borderId="16" xfId="0" applyFont="1" applyBorder="1" applyAlignment="1">
      <alignment wrapText="1"/>
    </xf>
    <xf numFmtId="3" fontId="26" fillId="0" borderId="16" xfId="0" applyNumberFormat="1" applyFont="1" applyBorder="1" applyAlignment="1">
      <alignment/>
    </xf>
    <xf numFmtId="4" fontId="26" fillId="0" borderId="16" xfId="0" applyNumberFormat="1" applyFont="1" applyBorder="1" applyAlignment="1">
      <alignment/>
    </xf>
    <xf numFmtId="9" fontId="26" fillId="0" borderId="16" xfId="68" applyNumberFormat="1" applyFont="1" applyBorder="1" applyAlignment="1">
      <alignment/>
    </xf>
    <xf numFmtId="0" fontId="26" fillId="0" borderId="16" xfId="0" applyFont="1" applyBorder="1" applyAlignment="1">
      <alignment/>
    </xf>
    <xf numFmtId="0" fontId="88" fillId="0" borderId="15" xfId="0" applyFont="1" applyBorder="1" applyAlignment="1">
      <alignment/>
    </xf>
    <xf numFmtId="0" fontId="26" fillId="0" borderId="15" xfId="0" applyFont="1" applyBorder="1" applyAlignment="1">
      <alignment wrapText="1"/>
    </xf>
    <xf numFmtId="9" fontId="26" fillId="0" borderId="16" xfId="68" applyFont="1" applyBorder="1" applyAlignment="1">
      <alignment/>
    </xf>
    <xf numFmtId="3" fontId="88" fillId="0" borderId="15" xfId="0" applyNumberFormat="1" applyFont="1" applyBorder="1" applyAlignment="1">
      <alignment/>
    </xf>
    <xf numFmtId="9" fontId="26" fillId="0" borderId="15" xfId="68" applyNumberFormat="1" applyFont="1" applyBorder="1" applyAlignment="1">
      <alignment/>
    </xf>
    <xf numFmtId="0" fontId="88" fillId="0" borderId="24" xfId="0" applyFont="1" applyBorder="1" applyAlignment="1">
      <alignment/>
    </xf>
    <xf numFmtId="0" fontId="26" fillId="0" borderId="24" xfId="0" applyFont="1" applyBorder="1" applyAlignment="1">
      <alignment wrapText="1"/>
    </xf>
    <xf numFmtId="3" fontId="26" fillId="0" borderId="24" xfId="0" applyNumberFormat="1" applyFont="1" applyBorder="1" applyAlignment="1">
      <alignment/>
    </xf>
    <xf numFmtId="4" fontId="26" fillId="0" borderId="24" xfId="0" applyNumberFormat="1" applyFont="1" applyBorder="1" applyAlignment="1">
      <alignment/>
    </xf>
    <xf numFmtId="0" fontId="26" fillId="0" borderId="19" xfId="0" applyFont="1" applyBorder="1" applyAlignment="1">
      <alignment/>
    </xf>
    <xf numFmtId="0" fontId="44" fillId="0" borderId="15" xfId="0" applyFont="1" applyBorder="1" applyAlignment="1">
      <alignment/>
    </xf>
    <xf numFmtId="0" fontId="24" fillId="0" borderId="15" xfId="0" applyFont="1" applyBorder="1" applyAlignment="1">
      <alignment wrapText="1"/>
    </xf>
    <xf numFmtId="0" fontId="83" fillId="0" borderId="24" xfId="0" applyFont="1" applyBorder="1" applyAlignment="1">
      <alignment/>
    </xf>
    <xf numFmtId="3" fontId="83" fillId="0" borderId="15" xfId="0" applyNumberFormat="1" applyFont="1" applyBorder="1" applyAlignment="1">
      <alignment/>
    </xf>
    <xf numFmtId="0" fontId="83" fillId="0" borderId="15" xfId="0" applyFont="1" applyBorder="1" applyAlignment="1">
      <alignment/>
    </xf>
    <xf numFmtId="0" fontId="88" fillId="0" borderId="19" xfId="0" applyFont="1" applyBorder="1" applyAlignment="1">
      <alignment/>
    </xf>
    <xf numFmtId="0" fontId="26" fillId="0" borderId="19" xfId="0" applyFont="1" applyBorder="1" applyAlignment="1">
      <alignment wrapText="1"/>
    </xf>
    <xf numFmtId="0" fontId="83" fillId="0" borderId="19" xfId="0" applyFont="1" applyBorder="1" applyAlignment="1">
      <alignment/>
    </xf>
    <xf numFmtId="0" fontId="83" fillId="0" borderId="16" xfId="0" applyFont="1" applyBorder="1" applyAlignment="1">
      <alignment/>
    </xf>
    <xf numFmtId="0" fontId="26" fillId="0" borderId="24" xfId="0" applyFont="1" applyBorder="1" applyAlignment="1">
      <alignment/>
    </xf>
    <xf numFmtId="0" fontId="80" fillId="0" borderId="15" xfId="0" applyFont="1" applyBorder="1" applyAlignment="1">
      <alignment wrapText="1"/>
    </xf>
    <xf numFmtId="3" fontId="80" fillId="0" borderId="15" xfId="0" applyNumberFormat="1" applyFont="1" applyBorder="1" applyAlignment="1">
      <alignment/>
    </xf>
    <xf numFmtId="4" fontId="80" fillId="0" borderId="15" xfId="0" applyNumberFormat="1" applyFont="1" applyBorder="1" applyAlignment="1">
      <alignment/>
    </xf>
    <xf numFmtId="4" fontId="80" fillId="0" borderId="24" xfId="0" applyNumberFormat="1" applyFont="1" applyBorder="1" applyAlignment="1">
      <alignment/>
    </xf>
    <xf numFmtId="0" fontId="41" fillId="0" borderId="32" xfId="0" applyFont="1" applyBorder="1" applyAlignment="1">
      <alignment horizontal="center"/>
    </xf>
    <xf numFmtId="0" fontId="24" fillId="0" borderId="0" xfId="0" applyFont="1" applyAlignment="1">
      <alignment/>
    </xf>
    <xf numFmtId="0" fontId="24" fillId="0" borderId="0" xfId="0" applyFont="1" applyAlignment="1">
      <alignment wrapText="1"/>
    </xf>
    <xf numFmtId="0" fontId="18" fillId="0" borderId="0" xfId="0" applyFont="1" applyAlignment="1">
      <alignment wrapText="1"/>
    </xf>
    <xf numFmtId="0" fontId="38" fillId="0" borderId="0" xfId="0" applyFont="1" applyAlignment="1">
      <alignment wrapText="1"/>
    </xf>
    <xf numFmtId="0" fontId="0" fillId="0" borderId="0" xfId="0" applyFont="1" applyAlignment="1">
      <alignment wrapText="1"/>
    </xf>
    <xf numFmtId="0" fontId="61" fillId="0" borderId="0" xfId="0" applyFont="1" applyAlignment="1">
      <alignment/>
    </xf>
    <xf numFmtId="0" fontId="26" fillId="0" borderId="0" xfId="0" applyFont="1" applyFill="1" applyBorder="1" applyAlignment="1">
      <alignment horizontal="center"/>
    </xf>
    <xf numFmtId="0" fontId="61" fillId="0" borderId="15" xfId="0" applyFont="1" applyBorder="1" applyAlignment="1">
      <alignment horizontal="center" vertical="center"/>
    </xf>
    <xf numFmtId="0" fontId="61" fillId="0" borderId="15" xfId="0" applyFont="1" applyBorder="1" applyAlignment="1">
      <alignment vertical="center"/>
    </xf>
    <xf numFmtId="3" fontId="1" fillId="0" borderId="15" xfId="0" applyNumberFormat="1" applyFont="1" applyBorder="1" applyAlignment="1">
      <alignment vertical="center"/>
    </xf>
    <xf numFmtId="3" fontId="1" fillId="0" borderId="15" xfId="0" applyNumberFormat="1" applyFont="1" applyFill="1" applyBorder="1" applyAlignment="1">
      <alignment vertical="center"/>
    </xf>
    <xf numFmtId="0" fontId="61" fillId="0" borderId="15" xfId="0" applyFont="1" applyBorder="1" applyAlignment="1">
      <alignment/>
    </xf>
    <xf numFmtId="2" fontId="61" fillId="0" borderId="15" xfId="0" applyNumberFormat="1" applyFont="1" applyBorder="1" applyAlignment="1">
      <alignment vertical="center" wrapText="1"/>
    </xf>
    <xf numFmtId="4" fontId="1" fillId="0" borderId="15" xfId="0" applyNumberFormat="1" applyFont="1" applyBorder="1" applyAlignment="1">
      <alignment vertical="center"/>
    </xf>
    <xf numFmtId="173" fontId="1" fillId="0" borderId="15" xfId="0" applyNumberFormat="1" applyFont="1" applyBorder="1" applyAlignment="1">
      <alignment vertical="center"/>
    </xf>
    <xf numFmtId="0" fontId="61" fillId="0" borderId="24" xfId="0" applyFont="1" applyBorder="1" applyAlignment="1">
      <alignment horizontal="center" vertical="center"/>
    </xf>
    <xf numFmtId="0" fontId="61" fillId="0" borderId="24" xfId="0" applyFont="1" applyBorder="1" applyAlignment="1">
      <alignment/>
    </xf>
    <xf numFmtId="0" fontId="61" fillId="0" borderId="29" xfId="0" applyFont="1" applyBorder="1" applyAlignment="1">
      <alignment/>
    </xf>
    <xf numFmtId="3" fontId="1" fillId="0" borderId="29" xfId="0" applyNumberFormat="1" applyFont="1" applyBorder="1" applyAlignment="1">
      <alignment/>
    </xf>
    <xf numFmtId="0" fontId="26" fillId="0" borderId="0" xfId="0" applyFont="1" applyFill="1" applyAlignment="1">
      <alignment/>
    </xf>
    <xf numFmtId="0" fontId="91" fillId="0" borderId="0" xfId="0" applyFont="1" applyFill="1" applyAlignment="1">
      <alignment/>
    </xf>
    <xf numFmtId="0" fontId="88" fillId="0" borderId="0" xfId="0" applyFont="1" applyFill="1" applyAlignment="1">
      <alignment/>
    </xf>
    <xf numFmtId="0" fontId="88" fillId="0" borderId="0" xfId="0" applyFont="1" applyFill="1" applyAlignment="1">
      <alignment horizontal="right"/>
    </xf>
    <xf numFmtId="0" fontId="18" fillId="0" borderId="0" xfId="0" applyFont="1" applyFill="1" applyAlignment="1">
      <alignment/>
    </xf>
    <xf numFmtId="0" fontId="92" fillId="0" borderId="0" xfId="0" applyFont="1" applyFill="1" applyAlignment="1">
      <alignment/>
    </xf>
    <xf numFmtId="0" fontId="93" fillId="0" borderId="0" xfId="0" applyFont="1" applyFill="1" applyBorder="1" applyAlignment="1">
      <alignment horizontal="center"/>
    </xf>
    <xf numFmtId="0" fontId="94" fillId="0" borderId="0" xfId="0" applyFont="1" applyFill="1" applyBorder="1" applyAlignment="1">
      <alignment horizontal="center"/>
    </xf>
    <xf numFmtId="0" fontId="95" fillId="0" borderId="0" xfId="0" applyFont="1" applyFill="1" applyBorder="1" applyAlignment="1">
      <alignment horizontal="center"/>
    </xf>
    <xf numFmtId="0" fontId="88" fillId="0" borderId="0" xfId="0" applyFont="1" applyFill="1" applyBorder="1" applyAlignment="1">
      <alignment horizontal="right"/>
    </xf>
    <xf numFmtId="0" fontId="47" fillId="0" borderId="16" xfId="0" applyFont="1" applyFill="1" applyBorder="1" applyAlignment="1">
      <alignment/>
    </xf>
    <xf numFmtId="3" fontId="89" fillId="0" borderId="16" xfId="0" applyNumberFormat="1" applyFont="1" applyFill="1" applyBorder="1" applyAlignment="1">
      <alignment/>
    </xf>
    <xf numFmtId="4" fontId="89" fillId="0" borderId="16" xfId="0" applyNumberFormat="1" applyFont="1" applyFill="1" applyBorder="1" applyAlignment="1">
      <alignment/>
    </xf>
    <xf numFmtId="9" fontId="89" fillId="0" borderId="16" xfId="68" applyFont="1" applyFill="1" applyBorder="1" applyAlignment="1">
      <alignment/>
    </xf>
    <xf numFmtId="0" fontId="24" fillId="0" borderId="15" xfId="0" applyFont="1" applyFill="1" applyBorder="1" applyAlignment="1">
      <alignment/>
    </xf>
    <xf numFmtId="3" fontId="51" fillId="0" borderId="15" xfId="0" applyNumberFormat="1" applyFont="1" applyFill="1" applyBorder="1" applyAlignment="1">
      <alignment/>
    </xf>
    <xf numFmtId="4" fontId="51" fillId="0" borderId="15" xfId="0" applyNumberFormat="1" applyFont="1" applyFill="1" applyBorder="1" applyAlignment="1">
      <alignment/>
    </xf>
    <xf numFmtId="9" fontId="51" fillId="0" borderId="15" xfId="68" applyNumberFormat="1" applyFont="1" applyFill="1" applyBorder="1" applyAlignment="1">
      <alignment/>
    </xf>
    <xf numFmtId="0" fontId="49" fillId="0" borderId="0" xfId="0" applyFont="1" applyFill="1" applyAlignment="1">
      <alignment/>
    </xf>
    <xf numFmtId="0" fontId="26" fillId="0" borderId="15" xfId="0" applyFont="1" applyFill="1" applyBorder="1" applyAlignment="1">
      <alignment/>
    </xf>
    <xf numFmtId="3" fontId="26" fillId="0" borderId="15" xfId="0" applyNumberFormat="1" applyFont="1" applyFill="1" applyBorder="1" applyAlignment="1">
      <alignment/>
    </xf>
    <xf numFmtId="9" fontId="80" fillId="0" borderId="16" xfId="68" applyFont="1" applyFill="1" applyBorder="1" applyAlignment="1">
      <alignment/>
    </xf>
    <xf numFmtId="9" fontId="26" fillId="0" borderId="15" xfId="68" applyFont="1" applyFill="1" applyBorder="1" applyAlignment="1">
      <alignment/>
    </xf>
    <xf numFmtId="9" fontId="26" fillId="0" borderId="15" xfId="68" applyNumberFormat="1" applyFont="1" applyFill="1" applyBorder="1" applyAlignment="1">
      <alignment/>
    </xf>
    <xf numFmtId="0" fontId="28" fillId="0" borderId="15" xfId="0" applyFont="1" applyFill="1" applyBorder="1" applyAlignment="1">
      <alignment/>
    </xf>
    <xf numFmtId="3" fontId="28" fillId="0" borderId="15" xfId="0" applyNumberFormat="1" applyFont="1" applyFill="1" applyBorder="1" applyAlignment="1">
      <alignment/>
    </xf>
    <xf numFmtId="4" fontId="28" fillId="0" borderId="15" xfId="0" applyNumberFormat="1" applyFont="1" applyFill="1" applyBorder="1" applyAlignment="1">
      <alignment/>
    </xf>
    <xf numFmtId="9" fontId="87" fillId="0" borderId="16" xfId="68" applyFont="1" applyFill="1" applyBorder="1" applyAlignment="1">
      <alignment/>
    </xf>
    <xf numFmtId="9" fontId="28" fillId="0" borderId="15" xfId="68" applyNumberFormat="1" applyFont="1" applyFill="1" applyBorder="1" applyAlignment="1">
      <alignment/>
    </xf>
    <xf numFmtId="0" fontId="43" fillId="0" borderId="0" xfId="0" applyFont="1" applyFill="1" applyAlignment="1">
      <alignment/>
    </xf>
    <xf numFmtId="0" fontId="28" fillId="0" borderId="0" xfId="0" applyFont="1" applyFill="1" applyAlignment="1">
      <alignment/>
    </xf>
    <xf numFmtId="9" fontId="96" fillId="0" borderId="16" xfId="68" applyFont="1" applyFill="1" applyBorder="1" applyAlignment="1">
      <alignment/>
    </xf>
    <xf numFmtId="3" fontId="97" fillId="0" borderId="15" xfId="0" applyNumberFormat="1" applyFont="1" applyFill="1" applyBorder="1" applyAlignment="1">
      <alignment/>
    </xf>
    <xf numFmtId="0" fontId="47" fillId="0" borderId="15" xfId="0" applyFont="1" applyFill="1" applyBorder="1" applyAlignment="1">
      <alignment/>
    </xf>
    <xf numFmtId="3" fontId="47" fillId="0" borderId="15" xfId="0" applyNumberFormat="1" applyFont="1" applyFill="1" applyBorder="1" applyAlignment="1">
      <alignment/>
    </xf>
    <xf numFmtId="4" fontId="47" fillId="0" borderId="15" xfId="0" applyNumberFormat="1" applyFont="1" applyFill="1" applyBorder="1" applyAlignment="1">
      <alignment/>
    </xf>
    <xf numFmtId="9" fontId="89" fillId="0" borderId="15" xfId="68" applyFont="1" applyFill="1" applyBorder="1" applyAlignment="1">
      <alignment/>
    </xf>
    <xf numFmtId="9" fontId="83" fillId="0" borderId="15" xfId="68" applyFont="1" applyFill="1" applyBorder="1" applyAlignment="1">
      <alignment/>
    </xf>
    <xf numFmtId="9" fontId="80" fillId="0" borderId="15" xfId="68" applyFont="1" applyFill="1" applyBorder="1" applyAlignment="1">
      <alignment/>
    </xf>
    <xf numFmtId="9" fontId="47" fillId="0" borderId="15" xfId="68" applyFont="1" applyFill="1" applyBorder="1" applyAlignment="1">
      <alignment/>
    </xf>
    <xf numFmtId="3" fontId="83" fillId="0" borderId="15" xfId="0" applyNumberFormat="1" applyFont="1" applyFill="1" applyBorder="1" applyAlignment="1">
      <alignment/>
    </xf>
    <xf numFmtId="9" fontId="51" fillId="0" borderId="16" xfId="68" applyFont="1" applyFill="1" applyBorder="1" applyAlignment="1">
      <alignment/>
    </xf>
    <xf numFmtId="9" fontId="98" fillId="0" borderId="16" xfId="68" applyFont="1" applyFill="1" applyBorder="1" applyAlignment="1">
      <alignment/>
    </xf>
    <xf numFmtId="9" fontId="28" fillId="0" borderId="15" xfId="68" applyFont="1" applyFill="1" applyBorder="1" applyAlignment="1">
      <alignment/>
    </xf>
    <xf numFmtId="3" fontId="26" fillId="0" borderId="16" xfId="0" applyNumberFormat="1" applyFont="1" applyFill="1" applyBorder="1" applyAlignment="1">
      <alignment/>
    </xf>
    <xf numFmtId="9" fontId="26" fillId="0" borderId="16" xfId="68" applyFont="1" applyFill="1" applyBorder="1" applyAlignment="1">
      <alignment/>
    </xf>
    <xf numFmtId="4" fontId="26" fillId="0" borderId="0" xfId="0" applyNumberFormat="1" applyFont="1" applyFill="1" applyAlignment="1">
      <alignment/>
    </xf>
    <xf numFmtId="4" fontId="28" fillId="0" borderId="0" xfId="0" applyNumberFormat="1" applyFont="1" applyFill="1" applyAlignment="1">
      <alignment/>
    </xf>
    <xf numFmtId="9" fontId="99" fillId="0" borderId="16" xfId="68" applyFont="1" applyFill="1" applyBorder="1" applyAlignment="1">
      <alignment/>
    </xf>
    <xf numFmtId="0" fontId="47" fillId="0" borderId="15" xfId="0" applyFont="1" applyFill="1" applyBorder="1" applyAlignment="1">
      <alignment horizontal="left" vertical="center" wrapText="1"/>
    </xf>
    <xf numFmtId="3" fontId="89" fillId="0" borderId="15" xfId="0" applyNumberFormat="1" applyFont="1" applyFill="1" applyBorder="1" applyAlignment="1">
      <alignment/>
    </xf>
    <xf numFmtId="4" fontId="89" fillId="0" borderId="15" xfId="0" applyNumberFormat="1" applyFont="1" applyFill="1" applyBorder="1" applyAlignment="1">
      <alignment/>
    </xf>
    <xf numFmtId="4" fontId="99" fillId="0" borderId="15" xfId="0" applyNumberFormat="1" applyFont="1" applyFill="1" applyBorder="1" applyAlignment="1">
      <alignment/>
    </xf>
    <xf numFmtId="0" fontId="84" fillId="0" borderId="0" xfId="0" applyFont="1" applyFill="1" applyAlignment="1">
      <alignment/>
    </xf>
    <xf numFmtId="4" fontId="80" fillId="0" borderId="15" xfId="0" applyNumberFormat="1" applyFont="1" applyFill="1" applyBorder="1" applyAlignment="1">
      <alignment/>
    </xf>
    <xf numFmtId="0" fontId="47" fillId="0" borderId="24" xfId="0" applyFont="1" applyFill="1" applyBorder="1" applyAlignment="1">
      <alignment/>
    </xf>
    <xf numFmtId="3" fontId="47" fillId="0" borderId="24" xfId="0" applyNumberFormat="1" applyFont="1" applyFill="1" applyBorder="1" applyAlignment="1">
      <alignment/>
    </xf>
    <xf numFmtId="3" fontId="26" fillId="0" borderId="24" xfId="0" applyNumberFormat="1" applyFont="1" applyFill="1" applyBorder="1" applyAlignment="1">
      <alignment/>
    </xf>
    <xf numFmtId="4" fontId="51" fillId="0" borderId="24" xfId="0" applyNumberFormat="1" applyFont="1" applyFill="1" applyBorder="1" applyAlignment="1">
      <alignment/>
    </xf>
    <xf numFmtId="4" fontId="80" fillId="0" borderId="24" xfId="0" applyNumberFormat="1" applyFont="1" applyFill="1" applyBorder="1" applyAlignment="1">
      <alignment/>
    </xf>
    <xf numFmtId="4" fontId="89" fillId="0" borderId="24" xfId="0" applyNumberFormat="1" applyFont="1" applyFill="1" applyBorder="1" applyAlignment="1">
      <alignment/>
    </xf>
    <xf numFmtId="9" fontId="89" fillId="0" borderId="19" xfId="68" applyFont="1" applyFill="1" applyBorder="1" applyAlignment="1">
      <alignment/>
    </xf>
    <xf numFmtId="9" fontId="26" fillId="0" borderId="24" xfId="68" applyFont="1" applyFill="1" applyBorder="1" applyAlignment="1">
      <alignment/>
    </xf>
    <xf numFmtId="0" fontId="26" fillId="0" borderId="24" xfId="0" applyFont="1" applyFill="1" applyBorder="1" applyAlignment="1">
      <alignment/>
    </xf>
    <xf numFmtId="0" fontId="47" fillId="0" borderId="29" xfId="0" applyFont="1" applyFill="1" applyBorder="1" applyAlignment="1">
      <alignment/>
    </xf>
    <xf numFmtId="3" fontId="89" fillId="0" borderId="29" xfId="0" applyNumberFormat="1" applyFont="1" applyFill="1" applyBorder="1" applyAlignment="1">
      <alignment/>
    </xf>
    <xf numFmtId="4" fontId="89" fillId="0" borderId="29" xfId="0" applyNumberFormat="1" applyFont="1" applyFill="1" applyBorder="1" applyAlignment="1">
      <alignment/>
    </xf>
    <xf numFmtId="0" fontId="39" fillId="0" borderId="0" xfId="0" applyFont="1" applyFill="1" applyAlignment="1">
      <alignment/>
    </xf>
    <xf numFmtId="0" fontId="100" fillId="0" borderId="0" xfId="0" applyFont="1" applyFill="1" applyAlignment="1">
      <alignment/>
    </xf>
    <xf numFmtId="0" fontId="101" fillId="0" borderId="0" xfId="0" applyFont="1" applyFill="1" applyAlignment="1">
      <alignment/>
    </xf>
    <xf numFmtId="0" fontId="25" fillId="0" borderId="0" xfId="0" applyFont="1" applyFill="1" applyAlignment="1">
      <alignment/>
    </xf>
    <xf numFmtId="0" fontId="102" fillId="0" borderId="0" xfId="0" applyFont="1" applyFill="1" applyAlignment="1">
      <alignment/>
    </xf>
    <xf numFmtId="0" fontId="102" fillId="0" borderId="0" xfId="0" applyFont="1" applyFill="1" applyAlignment="1">
      <alignment horizontal="center"/>
    </xf>
    <xf numFmtId="0" fontId="101" fillId="0" borderId="0" xfId="0" applyFont="1" applyFill="1" applyAlignment="1">
      <alignment horizontal="center"/>
    </xf>
    <xf numFmtId="0" fontId="39" fillId="0" borderId="0" xfId="0" applyFont="1" applyFill="1" applyAlignment="1">
      <alignment horizontal="center"/>
    </xf>
    <xf numFmtId="3" fontId="36" fillId="4" borderId="15" xfId="0" applyNumberFormat="1" applyFont="1" applyFill="1" applyBorder="1" applyAlignment="1">
      <alignment/>
    </xf>
    <xf numFmtId="0" fontId="58" fillId="0" borderId="0" xfId="0" applyFont="1" applyAlignment="1">
      <alignment horizontal="center"/>
    </xf>
    <xf numFmtId="0" fontId="21" fillId="0" borderId="0" xfId="0" applyFont="1" applyAlignment="1">
      <alignment horizontal="center"/>
    </xf>
    <xf numFmtId="0" fontId="24" fillId="0" borderId="0" xfId="0" applyFont="1" applyAlignment="1">
      <alignment horizontal="center"/>
    </xf>
    <xf numFmtId="0" fontId="24" fillId="0" borderId="10" xfId="0" applyFont="1" applyBorder="1" applyAlignment="1">
      <alignment horizontal="center" vertical="center" wrapText="1"/>
    </xf>
    <xf numFmtId="0" fontId="24" fillId="0" borderId="30" xfId="0" applyFont="1" applyBorder="1" applyAlignment="1">
      <alignment horizontal="center" vertical="center" wrapText="1"/>
    </xf>
    <xf numFmtId="0" fontId="36" fillId="0" borderId="31" xfId="0" applyFont="1" applyBorder="1" applyAlignment="1">
      <alignment horizontal="center" vertical="center" wrapText="1"/>
    </xf>
    <xf numFmtId="0" fontId="39" fillId="0" borderId="21" xfId="0" applyFont="1" applyBorder="1" applyAlignment="1">
      <alignment horizontal="center" vertical="center" wrapText="1"/>
    </xf>
    <xf numFmtId="0" fontId="44" fillId="0" borderId="31" xfId="0" applyFont="1" applyBorder="1" applyAlignment="1">
      <alignment horizontal="center" vertical="center" wrapText="1"/>
    </xf>
    <xf numFmtId="0" fontId="4" fillId="0" borderId="21" xfId="0" applyFont="1" applyBorder="1" applyAlignment="1">
      <alignment horizontal="center" vertical="center" wrapText="1"/>
    </xf>
    <xf numFmtId="0" fontId="24" fillId="0" borderId="31" xfId="0" applyFont="1" applyBorder="1" applyAlignment="1">
      <alignment horizontal="center" vertical="center" wrapText="1"/>
    </xf>
    <xf numFmtId="0" fontId="24" fillId="0" borderId="19" xfId="0" applyFont="1" applyBorder="1" applyAlignment="1">
      <alignment horizontal="center" vertical="center" wrapText="1"/>
    </xf>
    <xf numFmtId="0" fontId="36" fillId="0" borderId="10" xfId="0" applyFont="1" applyBorder="1" applyAlignment="1">
      <alignment horizontal="center" vertical="center" wrapText="1"/>
    </xf>
    <xf numFmtId="0" fontId="36" fillId="0" borderId="30" xfId="0" applyFont="1" applyBorder="1" applyAlignment="1">
      <alignment horizontal="center" vertical="center" wrapText="1"/>
    </xf>
    <xf numFmtId="0" fontId="36" fillId="0" borderId="31" xfId="0" applyFont="1" applyBorder="1" applyAlignment="1">
      <alignment horizontal="center" vertical="center" wrapText="1"/>
    </xf>
    <xf numFmtId="0" fontId="68" fillId="0" borderId="19" xfId="0" applyFont="1" applyBorder="1" applyAlignment="1">
      <alignment horizontal="center" vertical="center" wrapText="1"/>
    </xf>
    <xf numFmtId="0" fontId="68" fillId="0" borderId="21" xfId="0" applyFont="1" applyBorder="1" applyAlignment="1">
      <alignment horizontal="center" vertical="center" wrapText="1"/>
    </xf>
    <xf numFmtId="0" fontId="36" fillId="0" borderId="0" xfId="0" applyFont="1" applyAlignment="1">
      <alignment horizontal="left"/>
    </xf>
    <xf numFmtId="0" fontId="26" fillId="0" borderId="0" xfId="0" applyFont="1" applyAlignment="1">
      <alignment horizontal="right"/>
    </xf>
    <xf numFmtId="0" fontId="40" fillId="0" borderId="0" xfId="0" applyFont="1" applyBorder="1" applyAlignment="1">
      <alignment horizontal="center"/>
    </xf>
    <xf numFmtId="0" fontId="28" fillId="0" borderId="25" xfId="0" applyFont="1" applyBorder="1" applyAlignment="1">
      <alignment horizontal="center"/>
    </xf>
    <xf numFmtId="0" fontId="26" fillId="0" borderId="0" xfId="0" applyFont="1" applyAlignment="1">
      <alignment horizontal="right"/>
    </xf>
    <xf numFmtId="0" fontId="49" fillId="0" borderId="0" xfId="0" applyFont="1" applyBorder="1" applyAlignment="1">
      <alignment horizontal="center"/>
    </xf>
    <xf numFmtId="0" fontId="43" fillId="0" borderId="25" xfId="0" applyFont="1" applyBorder="1" applyAlignment="1">
      <alignment horizontal="right"/>
    </xf>
    <xf numFmtId="0" fontId="59" fillId="0" borderId="21" xfId="0" applyFont="1" applyBorder="1" applyAlignment="1">
      <alignment horizontal="center" vertical="center" wrapText="1"/>
    </xf>
    <xf numFmtId="9" fontId="26" fillId="0" borderId="24" xfId="68" applyFont="1" applyBorder="1" applyAlignment="1">
      <alignment horizontal="right" vertical="center" wrapText="1"/>
    </xf>
    <xf numFmtId="9" fontId="26" fillId="0" borderId="16" xfId="68" applyFont="1" applyBorder="1" applyAlignment="1">
      <alignment horizontal="right" vertical="center" wrapText="1"/>
    </xf>
    <xf numFmtId="0" fontId="26" fillId="0" borderId="24" xfId="0" applyFont="1" applyBorder="1" applyAlignment="1">
      <alignment horizontal="center" vertical="center" wrapText="1"/>
    </xf>
    <xf numFmtId="0" fontId="26" fillId="0" borderId="16" xfId="0" applyFont="1" applyBorder="1" applyAlignment="1">
      <alignment horizontal="center" vertical="center" wrapText="1"/>
    </xf>
    <xf numFmtId="0" fontId="26" fillId="0" borderId="24" xfId="0" applyFont="1" applyBorder="1" applyAlignment="1">
      <alignment horizontal="left" vertical="center" wrapText="1"/>
    </xf>
    <xf numFmtId="0" fontId="26" fillId="0" borderId="16" xfId="0" applyFont="1" applyBorder="1" applyAlignment="1">
      <alignment horizontal="left" vertical="center" wrapText="1"/>
    </xf>
    <xf numFmtId="3" fontId="26" fillId="0" borderId="24" xfId="0" applyNumberFormat="1" applyFont="1" applyBorder="1" applyAlignment="1">
      <alignment horizontal="right" vertical="center" wrapText="1"/>
    </xf>
    <xf numFmtId="3" fontId="26" fillId="0" borderId="16" xfId="0" applyNumberFormat="1" applyFont="1" applyBorder="1" applyAlignment="1">
      <alignment horizontal="right" vertical="center" wrapText="1"/>
    </xf>
    <xf numFmtId="4" fontId="61" fillId="0" borderId="24" xfId="0" applyNumberFormat="1" applyFont="1" applyBorder="1" applyAlignment="1">
      <alignment horizontal="right" vertical="center" wrapText="1"/>
    </xf>
    <xf numFmtId="4" fontId="0" fillId="0" borderId="16" xfId="0" applyNumberFormat="1" applyFont="1" applyBorder="1" applyAlignment="1">
      <alignment horizontal="right" vertical="center" wrapText="1"/>
    </xf>
    <xf numFmtId="0" fontId="88" fillId="0" borderId="0" xfId="0" applyFont="1" applyFill="1" applyAlignment="1">
      <alignment horizontal="center"/>
    </xf>
    <xf numFmtId="0" fontId="40" fillId="0" borderId="0" xfId="0" applyFont="1" applyFill="1" applyBorder="1" applyAlignment="1">
      <alignment horizontal="center"/>
    </xf>
    <xf numFmtId="0" fontId="88" fillId="0" borderId="25" xfId="0" applyFont="1" applyFill="1" applyBorder="1" applyAlignment="1">
      <alignment horizontal="center"/>
    </xf>
    <xf numFmtId="0" fontId="26" fillId="0" borderId="31" xfId="0" applyFont="1" applyFill="1" applyBorder="1" applyAlignment="1">
      <alignment horizontal="center" vertical="center" wrapText="1"/>
    </xf>
    <xf numFmtId="0" fontId="26" fillId="0" borderId="19"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4" fillId="0" borderId="10" xfId="0" applyFont="1" applyFill="1" applyBorder="1" applyAlignment="1">
      <alignment horizontal="center" vertical="center" wrapText="1"/>
    </xf>
    <xf numFmtId="0" fontId="44" fillId="0" borderId="33" xfId="0" applyFont="1" applyFill="1" applyBorder="1" applyAlignment="1">
      <alignment horizontal="center" vertical="center" wrapText="1"/>
    </xf>
    <xf numFmtId="0" fontId="44" fillId="0" borderId="30" xfId="0" applyFont="1" applyFill="1" applyBorder="1" applyAlignment="1">
      <alignment horizontal="center" vertical="center" wrapText="1"/>
    </xf>
    <xf numFmtId="0" fontId="88" fillId="0" borderId="12" xfId="0" applyFont="1" applyFill="1" applyBorder="1" applyAlignment="1">
      <alignment horizontal="center" vertical="center" wrapText="1"/>
    </xf>
    <xf numFmtId="0" fontId="59" fillId="0" borderId="13" xfId="0" applyFont="1" applyFill="1" applyBorder="1" applyAlignment="1">
      <alignment horizontal="center" vertical="center" wrapText="1"/>
    </xf>
    <xf numFmtId="0" fontId="88" fillId="0" borderId="31" xfId="0" applyFont="1" applyFill="1" applyBorder="1" applyAlignment="1">
      <alignment horizontal="center" vertical="center" wrapText="1"/>
    </xf>
    <xf numFmtId="0" fontId="59" fillId="0" borderId="21" xfId="0" applyFont="1" applyFill="1" applyBorder="1" applyAlignment="1">
      <alignment horizontal="center" vertical="center" wrapText="1"/>
    </xf>
    <xf numFmtId="0" fontId="88" fillId="0" borderId="34" xfId="0" applyFont="1" applyFill="1" applyBorder="1" applyAlignment="1">
      <alignment horizontal="center" vertical="center" wrapText="1"/>
    </xf>
    <xf numFmtId="0" fontId="59" fillId="0" borderId="35"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35" xfId="0" applyFont="1" applyFill="1" applyBorder="1" applyAlignment="1">
      <alignment horizontal="center" vertical="center" wrapText="1"/>
    </xf>
    <xf numFmtId="49" fontId="28" fillId="0" borderId="32" xfId="0" applyNumberFormat="1" applyFont="1" applyFill="1" applyBorder="1" applyAlignment="1">
      <alignment horizontal="center" vertical="center"/>
    </xf>
    <xf numFmtId="0" fontId="51" fillId="0" borderId="31" xfId="0" applyFont="1" applyBorder="1" applyAlignment="1">
      <alignment horizontal="center" vertical="center" wrapText="1"/>
    </xf>
    <xf numFmtId="0" fontId="74" fillId="0" borderId="21" xfId="0" applyFont="1" applyBorder="1" applyAlignment="1">
      <alignment horizontal="center" vertical="center" wrapText="1"/>
    </xf>
    <xf numFmtId="0" fontId="51" fillId="0" borderId="10" xfId="0" applyFont="1" applyBorder="1" applyAlignment="1">
      <alignment horizontal="center" vertical="center" wrapText="1"/>
    </xf>
    <xf numFmtId="0" fontId="51" fillId="0" borderId="30" xfId="0" applyFont="1" applyBorder="1" applyAlignment="1">
      <alignment horizontal="center" vertical="center" wrapText="1"/>
    </xf>
    <xf numFmtId="0" fontId="28" fillId="0" borderId="25" xfId="0" applyFont="1" applyBorder="1" applyAlignment="1">
      <alignment horizontal="right"/>
    </xf>
    <xf numFmtId="0" fontId="72" fillId="0" borderId="19" xfId="0" applyFont="1" applyBorder="1" applyAlignment="1">
      <alignment horizontal="center" vertical="center" wrapText="1"/>
    </xf>
    <xf numFmtId="0" fontId="72" fillId="0" borderId="21" xfId="0" applyFont="1" applyBorder="1" applyAlignment="1">
      <alignment horizontal="center" vertical="center" wrapText="1"/>
    </xf>
    <xf numFmtId="0" fontId="51" fillId="0" borderId="12" xfId="0" applyFont="1" applyBorder="1" applyAlignment="1">
      <alignment horizontal="center" vertical="center" wrapText="1"/>
    </xf>
    <xf numFmtId="0" fontId="51" fillId="0" borderId="32" xfId="0" applyFont="1" applyBorder="1" applyAlignment="1">
      <alignment horizontal="center" vertical="center" wrapText="1"/>
    </xf>
    <xf numFmtId="0" fontId="51" fillId="0" borderId="34" xfId="0" applyFont="1" applyBorder="1" applyAlignment="1">
      <alignment horizontal="center" vertical="center" wrapText="1"/>
    </xf>
    <xf numFmtId="0" fontId="51" fillId="0" borderId="33" xfId="0" applyFont="1" applyBorder="1" applyAlignment="1">
      <alignment horizontal="center" vertical="center" wrapText="1"/>
    </xf>
    <xf numFmtId="0" fontId="73" fillId="0" borderId="21" xfId="0" applyFont="1" applyBorder="1" applyAlignment="1">
      <alignment horizontal="center" vertical="center" wrapText="1"/>
    </xf>
    <xf numFmtId="0" fontId="24" fillId="0" borderId="0" xfId="0" applyFont="1" applyAlignment="1">
      <alignment horizontal="left"/>
    </xf>
    <xf numFmtId="0" fontId="39" fillId="0" borderId="0" xfId="0" applyFont="1" applyAlignment="1">
      <alignment horizontal="right"/>
    </xf>
    <xf numFmtId="0" fontId="71" fillId="0" borderId="0" xfId="0" applyFont="1" applyAlignment="1">
      <alignment horizontal="center"/>
    </xf>
    <xf numFmtId="0" fontId="41" fillId="0" borderId="0" xfId="0" applyFont="1" applyBorder="1" applyAlignment="1">
      <alignment horizontal="center"/>
    </xf>
    <xf numFmtId="183" fontId="24" fillId="0" borderId="0" xfId="63" applyNumberFormat="1" applyFont="1" applyBorder="1" applyAlignment="1">
      <alignment horizontal="center" vertical="center"/>
      <protection/>
    </xf>
    <xf numFmtId="3" fontId="43" fillId="0" borderId="0" xfId="63" applyNumberFormat="1" applyFont="1" applyBorder="1" applyAlignment="1">
      <alignment horizontal="center" vertical="center"/>
      <protection/>
    </xf>
    <xf numFmtId="3" fontId="49" fillId="0" borderId="0" xfId="63" applyNumberFormat="1" applyFont="1" applyBorder="1" applyAlignment="1">
      <alignment horizontal="center" vertical="center"/>
      <protection/>
    </xf>
    <xf numFmtId="0" fontId="24" fillId="0" borderId="0" xfId="63" applyFont="1" applyFill="1" applyBorder="1" applyAlignment="1">
      <alignment horizontal="center"/>
      <protection/>
    </xf>
    <xf numFmtId="183" fontId="28" fillId="0" borderId="0" xfId="63" applyNumberFormat="1" applyFont="1" applyBorder="1" applyAlignment="1">
      <alignment horizontal="center" vertical="center"/>
      <protection/>
    </xf>
    <xf numFmtId="183" fontId="44" fillId="0" borderId="11" xfId="63" applyNumberFormat="1" applyFont="1" applyBorder="1" applyAlignment="1">
      <alignment horizontal="center" vertical="center" wrapText="1"/>
      <protection/>
    </xf>
    <xf numFmtId="183" fontId="4" fillId="0" borderId="11" xfId="63" applyNumberFormat="1" applyFont="1" applyBorder="1" applyAlignment="1">
      <alignment horizontal="center" vertical="center" wrapText="1"/>
      <protection/>
    </xf>
    <xf numFmtId="183" fontId="44" fillId="0" borderId="11" xfId="63" applyNumberFormat="1" applyFont="1" applyBorder="1" applyAlignment="1">
      <alignment horizontal="center"/>
      <protection/>
    </xf>
    <xf numFmtId="0" fontId="44" fillId="0" borderId="11" xfId="63" applyFont="1" applyBorder="1" applyAlignment="1">
      <alignment horizontal="center"/>
      <protection/>
    </xf>
    <xf numFmtId="0" fontId="44" fillId="0" borderId="28" xfId="63" applyFont="1" applyBorder="1" applyAlignment="1">
      <alignment horizontal="center" vertical="center" wrapText="1"/>
      <protection/>
    </xf>
    <xf numFmtId="0" fontId="4" fillId="0" borderId="15" xfId="63" applyFont="1" applyBorder="1" applyAlignment="1">
      <alignment horizontal="center" vertical="center" wrapText="1"/>
      <protection/>
    </xf>
    <xf numFmtId="0" fontId="44" fillId="0" borderId="11" xfId="63" applyFont="1" applyBorder="1" applyAlignment="1">
      <alignment horizontal="center" vertical="center" wrapText="1"/>
      <protection/>
    </xf>
    <xf numFmtId="0" fontId="4" fillId="0" borderId="11" xfId="63" applyFont="1" applyBorder="1" applyAlignment="1">
      <alignment horizontal="center" vertical="center" wrapText="1"/>
      <protection/>
    </xf>
    <xf numFmtId="2" fontId="44" fillId="0" borderId="11" xfId="63" applyNumberFormat="1" applyFont="1" applyBorder="1" applyAlignment="1">
      <alignment horizontal="center" vertical="center" wrapText="1"/>
      <protection/>
    </xf>
    <xf numFmtId="2" fontId="4" fillId="0" borderId="11" xfId="63" applyNumberFormat="1" applyFont="1" applyBorder="1" applyAlignment="1">
      <alignment horizontal="center" vertical="center" wrapText="1"/>
      <protection/>
    </xf>
    <xf numFmtId="0" fontId="40" fillId="0" borderId="0" xfId="63" applyFont="1" applyAlignment="1">
      <alignment horizontal="center"/>
      <protection/>
    </xf>
    <xf numFmtId="183" fontId="78" fillId="0" borderId="0" xfId="63" applyNumberFormat="1" applyFont="1" applyBorder="1" applyAlignment="1">
      <alignment horizontal="center"/>
      <protection/>
    </xf>
    <xf numFmtId="0" fontId="40" fillId="0" borderId="0" xfId="0" applyFont="1" applyAlignment="1">
      <alignment horizontal="center" vertical="center" wrapText="1"/>
    </xf>
    <xf numFmtId="0" fontId="43" fillId="0" borderId="25" xfId="0" applyFont="1" applyBorder="1" applyAlignment="1">
      <alignment horizontal="center"/>
    </xf>
    <xf numFmtId="0" fontId="46" fillId="0" borderId="19" xfId="0" applyFont="1" applyBorder="1" applyAlignment="1">
      <alignment horizontal="center" vertical="center" wrapText="1"/>
    </xf>
    <xf numFmtId="0" fontId="46" fillId="0" borderId="21" xfId="0" applyFont="1" applyBorder="1" applyAlignment="1">
      <alignment horizontal="center" vertical="center" wrapText="1"/>
    </xf>
    <xf numFmtId="0" fontId="45" fillId="0" borderId="19" xfId="0" applyFont="1" applyBorder="1" applyAlignment="1">
      <alignment horizontal="center" vertical="center" wrapText="1"/>
    </xf>
    <xf numFmtId="0" fontId="45" fillId="0" borderId="21" xfId="0" applyFont="1" applyBorder="1" applyAlignment="1">
      <alignment horizontal="center" vertical="center" wrapText="1"/>
    </xf>
    <xf numFmtId="0" fontId="43" fillId="0" borderId="0" xfId="0" applyFont="1" applyAlignment="1">
      <alignment horizontal="center"/>
    </xf>
    <xf numFmtId="0" fontId="49" fillId="0" borderId="0" xfId="0" applyFont="1" applyAlignment="1">
      <alignment horizontal="center"/>
    </xf>
    <xf numFmtId="0" fontId="23" fillId="0" borderId="21" xfId="0" applyFont="1" applyBorder="1" applyAlignment="1">
      <alignment horizontal="center" vertical="center" wrapText="1"/>
    </xf>
    <xf numFmtId="0" fontId="44" fillId="0" borderId="10" xfId="0" applyFont="1" applyBorder="1" applyAlignment="1">
      <alignment horizontal="center" vertical="center" wrapText="1"/>
    </xf>
    <xf numFmtId="0" fontId="44" fillId="0" borderId="30" xfId="0" applyFont="1" applyBorder="1" applyAlignment="1">
      <alignment horizontal="center" vertical="center" wrapText="1"/>
    </xf>
    <xf numFmtId="0" fontId="24" fillId="0" borderId="10" xfId="62" applyFont="1" applyFill="1" applyBorder="1" applyAlignment="1">
      <alignment horizontal="center" vertical="center" wrapText="1"/>
      <protection/>
    </xf>
    <xf numFmtId="0" fontId="24" fillId="0" borderId="33" xfId="62" applyFont="1" applyFill="1" applyBorder="1" applyAlignment="1">
      <alignment horizontal="center" vertical="center" wrapText="1"/>
      <protection/>
    </xf>
    <xf numFmtId="0" fontId="24" fillId="0" borderId="30" xfId="62" applyFont="1" applyFill="1" applyBorder="1" applyAlignment="1">
      <alignment horizontal="center" vertical="center" wrapText="1"/>
      <protection/>
    </xf>
    <xf numFmtId="0" fontId="24" fillId="0" borderId="31" xfId="62" applyFont="1" applyFill="1" applyBorder="1" applyAlignment="1">
      <alignment horizontal="center" vertical="center" wrapText="1"/>
      <protection/>
    </xf>
    <xf numFmtId="0" fontId="24" fillId="0" borderId="19" xfId="62" applyFont="1" applyFill="1" applyBorder="1" applyAlignment="1">
      <alignment horizontal="center" vertical="center" wrapText="1"/>
      <protection/>
    </xf>
    <xf numFmtId="0" fontId="24" fillId="0" borderId="21" xfId="62" applyFont="1" applyFill="1" applyBorder="1" applyAlignment="1">
      <alignment horizontal="center" vertical="center" wrapText="1"/>
      <protection/>
    </xf>
    <xf numFmtId="0" fontId="39" fillId="0" borderId="0" xfId="0" applyFont="1" applyFill="1" applyAlignment="1">
      <alignment horizontal="center"/>
    </xf>
    <xf numFmtId="0" fontId="27" fillId="0" borderId="0" xfId="62" applyFont="1" applyAlignment="1">
      <alignment horizontal="center" vertical="center" wrapText="1"/>
      <protection/>
    </xf>
    <xf numFmtId="0" fontId="28" fillId="0" borderId="0" xfId="0" applyFont="1" applyBorder="1" applyAlignment="1">
      <alignment horizontal="center"/>
    </xf>
    <xf numFmtId="0" fontId="41" fillId="0" borderId="25" xfId="62" applyFont="1" applyFill="1" applyBorder="1" applyAlignment="1">
      <alignment horizontal="center" vertical="center" wrapText="1"/>
      <protection/>
    </xf>
    <xf numFmtId="0" fontId="24" fillId="0" borderId="10" xfId="62" applyFont="1" applyFill="1" applyBorder="1" applyAlignment="1">
      <alignment horizontal="center"/>
      <protection/>
    </xf>
    <xf numFmtId="0" fontId="24" fillId="0" borderId="33" xfId="62" applyFont="1" applyFill="1" applyBorder="1" applyAlignment="1">
      <alignment horizontal="center"/>
      <protection/>
    </xf>
    <xf numFmtId="0" fontId="24" fillId="0" borderId="30" xfId="62" applyFont="1" applyFill="1" applyBorder="1" applyAlignment="1">
      <alignment horizontal="center"/>
      <protection/>
    </xf>
    <xf numFmtId="0" fontId="24" fillId="0" borderId="11" xfId="62" applyFont="1" applyFill="1" applyBorder="1" applyAlignment="1">
      <alignment horizontal="center" vertical="center" wrapText="1"/>
      <protection/>
    </xf>
    <xf numFmtId="3" fontId="24" fillId="0" borderId="21" xfId="62" applyNumberFormat="1" applyFont="1" applyFill="1" applyBorder="1" applyAlignment="1">
      <alignment horizontal="center" vertical="center" wrapText="1"/>
      <protection/>
    </xf>
    <xf numFmtId="0" fontId="24" fillId="0" borderId="21" xfId="62" applyFont="1" applyFill="1" applyBorder="1" applyAlignment="1">
      <alignment horizontal="center"/>
      <protection/>
    </xf>
    <xf numFmtId="0" fontId="24" fillId="0" borderId="12" xfId="62" applyFont="1" applyFill="1" applyBorder="1" applyAlignment="1">
      <alignment horizontal="center" vertical="center" wrapText="1"/>
      <protection/>
    </xf>
    <xf numFmtId="0" fontId="24" fillId="0" borderId="32" xfId="62" applyFont="1" applyFill="1" applyBorder="1" applyAlignment="1">
      <alignment horizontal="center" vertical="center" wrapText="1"/>
      <protection/>
    </xf>
    <xf numFmtId="0" fontId="24" fillId="0" borderId="34" xfId="62" applyFont="1" applyFill="1" applyBorder="1" applyAlignment="1">
      <alignment horizontal="center" vertical="center" wrapText="1"/>
      <protection/>
    </xf>
    <xf numFmtId="0" fontId="24" fillId="0" borderId="26" xfId="62" applyFont="1" applyFill="1" applyBorder="1" applyAlignment="1">
      <alignment horizontal="center" vertical="center" wrapText="1"/>
      <protection/>
    </xf>
    <xf numFmtId="0" fontId="24" fillId="0" borderId="0" xfId="62" applyFont="1" applyFill="1" applyAlignment="1">
      <alignment horizontal="center" vertical="center" wrapText="1"/>
      <protection/>
    </xf>
    <xf numFmtId="0" fontId="24" fillId="0" borderId="20" xfId="62" applyFont="1" applyFill="1" applyBorder="1" applyAlignment="1">
      <alignment horizontal="center" vertical="center" wrapText="1"/>
      <protection/>
    </xf>
    <xf numFmtId="0" fontId="24" fillId="0" borderId="13" xfId="62" applyFont="1" applyFill="1" applyBorder="1" applyAlignment="1">
      <alignment horizontal="center" vertical="center" wrapText="1"/>
      <protection/>
    </xf>
    <xf numFmtId="0" fontId="24" fillId="0" borderId="25" xfId="62" applyFont="1" applyFill="1" applyBorder="1" applyAlignment="1">
      <alignment horizontal="center" vertical="center" wrapText="1"/>
      <protection/>
    </xf>
    <xf numFmtId="0" fontId="24" fillId="0" borderId="35" xfId="62" applyFont="1" applyFill="1" applyBorder="1" applyAlignment="1">
      <alignment horizontal="center" vertical="center" wrapText="1"/>
      <protection/>
    </xf>
    <xf numFmtId="0" fontId="24" fillId="0" borderId="13" xfId="62" applyFont="1" applyFill="1" applyBorder="1" applyAlignment="1">
      <alignment horizontal="center"/>
      <protection/>
    </xf>
    <xf numFmtId="0" fontId="24" fillId="0" borderId="25" xfId="62" applyFont="1" applyFill="1" applyBorder="1" applyAlignment="1">
      <alignment horizontal="center"/>
      <protection/>
    </xf>
    <xf numFmtId="0" fontId="24" fillId="0" borderId="11" xfId="62" applyFont="1" applyFill="1" applyBorder="1" applyAlignment="1">
      <alignment horizontal="center" vertical="center"/>
      <protection/>
    </xf>
    <xf numFmtId="3" fontId="24" fillId="0" borderId="11" xfId="62" applyNumberFormat="1" applyFont="1" applyFill="1" applyBorder="1" applyAlignment="1">
      <alignment horizontal="center" vertical="center" wrapText="1"/>
      <protection/>
    </xf>
    <xf numFmtId="0" fontId="30" fillId="0" borderId="0" xfId="0" applyFont="1" applyAlignment="1">
      <alignment horizontal="center"/>
    </xf>
    <xf numFmtId="0" fontId="31" fillId="0" borderId="0" xfId="0" applyFont="1" applyAlignment="1">
      <alignment horizontal="center"/>
    </xf>
    <xf numFmtId="172" fontId="24" fillId="0" borderId="11" xfId="62" applyNumberFormat="1" applyFont="1" applyFill="1" applyBorder="1" applyAlignment="1">
      <alignment horizontal="center" vertical="center" wrapText="1"/>
      <protection/>
    </xf>
    <xf numFmtId="0" fontId="49" fillId="0" borderId="31" xfId="0" applyFont="1" applyBorder="1" applyAlignment="1">
      <alignment horizontal="center" vertical="center" wrapText="1"/>
    </xf>
    <xf numFmtId="0" fontId="55" fillId="0" borderId="19" xfId="0" applyFont="1" applyBorder="1" applyAlignment="1">
      <alignment horizontal="center" vertical="center" wrapText="1"/>
    </xf>
    <xf numFmtId="0" fontId="55" fillId="0" borderId="21" xfId="0" applyFont="1" applyBorder="1" applyAlignment="1">
      <alignment horizontal="center" vertical="center" wrapText="1"/>
    </xf>
    <xf numFmtId="0" fontId="41" fillId="0" borderId="25" xfId="0" applyFont="1" applyBorder="1" applyAlignment="1">
      <alignment horizontal="center"/>
    </xf>
    <xf numFmtId="0" fontId="53" fillId="0" borderId="19" xfId="0" applyFont="1" applyBorder="1" applyAlignment="1">
      <alignment horizontal="center" vertical="center" wrapText="1"/>
    </xf>
    <xf numFmtId="0" fontId="53" fillId="0" borderId="21" xfId="0" applyFont="1" applyBorder="1" applyAlignment="1">
      <alignment horizontal="center" vertical="center" wrapText="1"/>
    </xf>
    <xf numFmtId="0" fontId="49" fillId="0" borderId="10" xfId="0" applyFont="1" applyBorder="1" applyAlignment="1">
      <alignment horizontal="center" vertical="center" wrapText="1"/>
    </xf>
    <xf numFmtId="0" fontId="49" fillId="0" borderId="33" xfId="0" applyFont="1" applyBorder="1" applyAlignment="1">
      <alignment horizontal="center" vertical="center" wrapText="1"/>
    </xf>
    <xf numFmtId="0" fontId="49" fillId="0" borderId="30" xfId="0" applyFont="1" applyBorder="1" applyAlignment="1">
      <alignment horizontal="center" vertical="center" wrapText="1"/>
    </xf>
    <xf numFmtId="0" fontId="54" fillId="0" borderId="19" xfId="0" applyFont="1" applyBorder="1" applyAlignment="1">
      <alignment horizontal="center" vertical="center" wrapText="1"/>
    </xf>
    <xf numFmtId="0" fontId="54" fillId="0" borderId="21" xfId="0" applyFont="1" applyBorder="1" applyAlignment="1">
      <alignment horizontal="center" vertical="center" wrapText="1"/>
    </xf>
    <xf numFmtId="0" fontId="40" fillId="0" borderId="0" xfId="0" applyFont="1" applyAlignment="1">
      <alignment horizontal="center"/>
    </xf>
    <xf numFmtId="0" fontId="49" fillId="0" borderId="0" xfId="0" applyFont="1" applyAlignment="1">
      <alignment horizontal="center"/>
    </xf>
    <xf numFmtId="0" fontId="24" fillId="0" borderId="31" xfId="0" applyFont="1" applyFill="1" applyBorder="1" applyAlignment="1">
      <alignment horizontal="center" vertical="center" wrapText="1"/>
    </xf>
    <xf numFmtId="0" fontId="24" fillId="0" borderId="19" xfId="0" applyFont="1" applyFill="1" applyBorder="1" applyAlignment="1">
      <alignment horizontal="center" vertical="center" wrapText="1"/>
    </xf>
    <xf numFmtId="0" fontId="24" fillId="0" borderId="21" xfId="0" applyFont="1" applyFill="1" applyBorder="1" applyAlignment="1">
      <alignment horizontal="center" vertical="center" wrapText="1"/>
    </xf>
    <xf numFmtId="218" fontId="24" fillId="0" borderId="10" xfId="0" applyNumberFormat="1" applyFont="1" applyFill="1" applyBorder="1" applyAlignment="1">
      <alignment horizontal="center" vertical="center" wrapText="1"/>
    </xf>
    <xf numFmtId="218" fontId="24" fillId="0" borderId="33" xfId="0" applyNumberFormat="1" applyFont="1" applyFill="1" applyBorder="1" applyAlignment="1">
      <alignment horizontal="center" vertical="center" wrapText="1"/>
    </xf>
    <xf numFmtId="218" fontId="24" fillId="0" borderId="30" xfId="0" applyNumberFormat="1" applyFont="1" applyFill="1" applyBorder="1" applyAlignment="1">
      <alignment horizontal="center" vertical="center" wrapText="1"/>
    </xf>
    <xf numFmtId="201" fontId="24" fillId="0" borderId="10" xfId="0" applyNumberFormat="1" applyFont="1" applyFill="1" applyBorder="1" applyAlignment="1">
      <alignment horizontal="center" vertical="center" wrapText="1"/>
    </xf>
    <xf numFmtId="201" fontId="24" fillId="0" borderId="33" xfId="0" applyNumberFormat="1" applyFont="1" applyFill="1" applyBorder="1" applyAlignment="1">
      <alignment horizontal="center" vertical="center" wrapText="1"/>
    </xf>
    <xf numFmtId="201" fontId="24" fillId="0" borderId="30" xfId="0" applyNumberFormat="1" applyFont="1" applyFill="1" applyBorder="1" applyAlignment="1">
      <alignment horizontal="center" vertical="center" wrapText="1"/>
    </xf>
    <xf numFmtId="0" fontId="24" fillId="0" borderId="10" xfId="0" applyFont="1" applyFill="1" applyBorder="1" applyAlignment="1">
      <alignment horizontal="center" vertical="center" wrapText="1"/>
    </xf>
    <xf numFmtId="0" fontId="24" fillId="0" borderId="33" xfId="0" applyFont="1" applyFill="1" applyBorder="1" applyAlignment="1">
      <alignment horizontal="center" vertical="center" wrapText="1"/>
    </xf>
    <xf numFmtId="0" fontId="24" fillId="0" borderId="30" xfId="0" applyFont="1" applyFill="1" applyBorder="1" applyAlignment="1">
      <alignment horizontal="center" vertical="center" wrapText="1"/>
    </xf>
    <xf numFmtId="201" fontId="24" fillId="0" borderId="31" xfId="0" applyNumberFormat="1" applyFont="1" applyFill="1" applyBorder="1" applyAlignment="1">
      <alignment horizontal="center" vertical="center" wrapText="1"/>
    </xf>
    <xf numFmtId="201" fontId="24" fillId="0" borderId="21" xfId="0" applyNumberFormat="1" applyFont="1" applyFill="1" applyBorder="1" applyAlignment="1">
      <alignment horizontal="center" vertical="center" wrapText="1"/>
    </xf>
    <xf numFmtId="218" fontId="24" fillId="0" borderId="31" xfId="0" applyNumberFormat="1" applyFont="1" applyFill="1" applyBorder="1" applyAlignment="1">
      <alignment horizontal="center" vertical="center" wrapText="1"/>
    </xf>
    <xf numFmtId="218" fontId="24" fillId="0" borderId="21" xfId="0" applyNumberFormat="1" applyFont="1" applyFill="1" applyBorder="1" applyAlignment="1">
      <alignment horizontal="center" vertical="center" wrapText="1"/>
    </xf>
    <xf numFmtId="218" fontId="24" fillId="0" borderId="13" xfId="0" applyNumberFormat="1" applyFont="1" applyFill="1" applyBorder="1" applyAlignment="1">
      <alignment horizontal="center" vertical="center" wrapText="1"/>
    </xf>
    <xf numFmtId="218" fontId="24" fillId="0" borderId="25" xfId="0" applyNumberFormat="1" applyFont="1" applyFill="1" applyBorder="1" applyAlignment="1">
      <alignment horizontal="center" vertical="center" wrapText="1"/>
    </xf>
    <xf numFmtId="218" fontId="24" fillId="0" borderId="35" xfId="0" applyNumberFormat="1" applyFont="1" applyFill="1" applyBorder="1" applyAlignment="1">
      <alignment horizontal="center" vertical="center" wrapText="1"/>
    </xf>
    <xf numFmtId="218" fontId="24" fillId="0" borderId="31" xfId="0" applyNumberFormat="1" applyFont="1" applyFill="1" applyBorder="1" applyAlignment="1">
      <alignment horizontal="center" vertical="center" wrapText="1"/>
    </xf>
    <xf numFmtId="218" fontId="24" fillId="0" borderId="21" xfId="0" applyNumberFormat="1" applyFont="1" applyFill="1" applyBorder="1" applyAlignment="1">
      <alignment horizontal="center" vertical="center" wrapText="1"/>
    </xf>
    <xf numFmtId="201" fontId="24" fillId="0" borderId="12" xfId="0" applyNumberFormat="1" applyFont="1" applyFill="1" applyBorder="1" applyAlignment="1">
      <alignment horizontal="center" vertical="center" wrapText="1"/>
    </xf>
    <xf numFmtId="201" fontId="24" fillId="0" borderId="32" xfId="0" applyNumberFormat="1" applyFont="1" applyFill="1" applyBorder="1" applyAlignment="1">
      <alignment horizontal="center" vertical="center" wrapText="1"/>
    </xf>
    <xf numFmtId="201" fontId="24" fillId="0" borderId="34" xfId="0" applyNumberFormat="1" applyFont="1" applyFill="1" applyBorder="1" applyAlignment="1">
      <alignment horizontal="center" vertical="center" wrapText="1"/>
    </xf>
    <xf numFmtId="201" fontId="24" fillId="0" borderId="19" xfId="0" applyNumberFormat="1" applyFont="1" applyFill="1" applyBorder="1" applyAlignment="1">
      <alignment horizontal="center" vertical="center" wrapText="1"/>
    </xf>
    <xf numFmtId="201" fontId="24" fillId="0" borderId="12" xfId="0" applyNumberFormat="1" applyFont="1" applyFill="1" applyBorder="1" applyAlignment="1">
      <alignment horizontal="center" vertical="center" wrapText="1"/>
    </xf>
    <xf numFmtId="201" fontId="24" fillId="0" borderId="34" xfId="0" applyNumberFormat="1" applyFont="1" applyFill="1" applyBorder="1" applyAlignment="1">
      <alignment horizontal="center" vertical="center" wrapText="1"/>
    </xf>
    <xf numFmtId="201" fontId="24" fillId="0" borderId="13" xfId="0" applyNumberFormat="1" applyFont="1" applyFill="1" applyBorder="1" applyAlignment="1">
      <alignment horizontal="center" vertical="center" wrapText="1"/>
    </xf>
    <xf numFmtId="201" fontId="24" fillId="0" borderId="35" xfId="0" applyNumberFormat="1" applyFont="1" applyFill="1" applyBorder="1" applyAlignment="1">
      <alignment horizontal="center" vertical="center" wrapText="1"/>
    </xf>
    <xf numFmtId="3" fontId="24" fillId="0" borderId="31" xfId="0" applyNumberFormat="1" applyFont="1" applyFill="1" applyBorder="1" applyAlignment="1">
      <alignment horizontal="center" vertical="center" wrapText="1"/>
    </xf>
    <xf numFmtId="3" fontId="24" fillId="0" borderId="21" xfId="0" applyNumberFormat="1" applyFont="1" applyFill="1" applyBorder="1" applyAlignment="1">
      <alignment horizontal="center" vertical="center" wrapText="1"/>
    </xf>
    <xf numFmtId="0" fontId="24" fillId="0" borderId="10" xfId="0" applyFont="1" applyFill="1" applyBorder="1" applyAlignment="1">
      <alignment horizontal="center" vertical="center" wrapText="1"/>
    </xf>
    <xf numFmtId="0" fontId="24" fillId="0" borderId="33" xfId="0" applyFont="1" applyFill="1" applyBorder="1" applyAlignment="1">
      <alignment horizontal="center" vertical="center" wrapText="1"/>
    </xf>
    <xf numFmtId="0" fontId="24" fillId="0" borderId="30" xfId="0" applyFont="1" applyFill="1" applyBorder="1" applyAlignment="1">
      <alignment horizontal="center" vertical="center" wrapText="1"/>
    </xf>
    <xf numFmtId="201" fontId="24" fillId="0" borderId="31" xfId="0" applyNumberFormat="1" applyFont="1" applyFill="1" applyBorder="1" applyAlignment="1">
      <alignment horizontal="center" vertical="center" wrapText="1"/>
    </xf>
    <xf numFmtId="201" fontId="24" fillId="0" borderId="19" xfId="0" applyNumberFormat="1" applyFont="1" applyFill="1" applyBorder="1" applyAlignment="1">
      <alignment horizontal="center" vertical="center" wrapText="1"/>
    </xf>
    <xf numFmtId="201" fontId="24" fillId="0" borderId="21" xfId="0" applyNumberFormat="1" applyFont="1" applyFill="1" applyBorder="1" applyAlignment="1">
      <alignment horizontal="center" vertical="center" wrapText="1"/>
    </xf>
    <xf numFmtId="218" fontId="62" fillId="0" borderId="25" xfId="0" applyNumberFormat="1" applyFont="1" applyFill="1" applyBorder="1" applyAlignment="1">
      <alignment horizontal="center" vertical="center"/>
    </xf>
    <xf numFmtId="0" fontId="40" fillId="0" borderId="0" xfId="65" applyFont="1" applyFill="1" applyAlignment="1">
      <alignment horizontal="center" vertical="center"/>
      <protection/>
    </xf>
    <xf numFmtId="0" fontId="62" fillId="0" borderId="0" xfId="0" applyFont="1" applyFill="1" applyBorder="1" applyAlignment="1">
      <alignment horizontal="center" vertical="center"/>
    </xf>
    <xf numFmtId="0" fontId="62" fillId="0" borderId="25" xfId="0" applyFont="1" applyFill="1" applyBorder="1" applyAlignment="1">
      <alignment horizontal="center" vertical="center"/>
    </xf>
    <xf numFmtId="0" fontId="28" fillId="0" borderId="25" xfId="0" applyFont="1" applyFill="1" applyBorder="1" applyAlignment="1">
      <alignment horizontal="center" vertical="center"/>
    </xf>
    <xf numFmtId="0" fontId="24" fillId="0" borderId="11" xfId="0" applyFont="1" applyFill="1" applyBorder="1" applyAlignment="1">
      <alignment horizontal="center" vertical="center"/>
    </xf>
    <xf numFmtId="0" fontId="24" fillId="0" borderId="11" xfId="0" applyFont="1" applyFill="1" applyBorder="1" applyAlignment="1">
      <alignment horizontal="center" vertical="center" wrapText="1"/>
    </xf>
    <xf numFmtId="0" fontId="28" fillId="0" borderId="25" xfId="0" applyFont="1" applyBorder="1" applyAlignment="1">
      <alignment horizontal="right"/>
    </xf>
    <xf numFmtId="0" fontId="61" fillId="0" borderId="16" xfId="0" applyFont="1" applyBorder="1" applyAlignment="1">
      <alignment horizontal="center" vertical="center" wrapText="1"/>
    </xf>
    <xf numFmtId="0" fontId="61" fillId="0" borderId="15" xfId="0" applyFont="1" applyBorder="1" applyAlignment="1">
      <alignment horizontal="center" vertical="center" wrapText="1"/>
    </xf>
    <xf numFmtId="0" fontId="61" fillId="0" borderId="16" xfId="0" applyFont="1" applyBorder="1" applyAlignment="1">
      <alignment horizontal="left" vertical="center" wrapText="1"/>
    </xf>
    <xf numFmtId="0" fontId="61" fillId="0" borderId="15" xfId="0" applyFont="1" applyBorder="1" applyAlignment="1">
      <alignment horizontal="left" vertical="center" wrapText="1"/>
    </xf>
    <xf numFmtId="3" fontId="1" fillId="0" borderId="16" xfId="0" applyNumberFormat="1" applyFont="1" applyBorder="1" applyAlignment="1">
      <alignment horizontal="right" vertical="center" wrapText="1"/>
    </xf>
    <xf numFmtId="3" fontId="1" fillId="0" borderId="15" xfId="0" applyNumberFormat="1" applyFont="1" applyBorder="1" applyAlignment="1">
      <alignment horizontal="right" vertical="center" wrapText="1"/>
    </xf>
    <xf numFmtId="3" fontId="1" fillId="0" borderId="16" xfId="0" applyNumberFormat="1" applyFont="1" applyFill="1" applyBorder="1" applyAlignment="1">
      <alignment horizontal="right" vertical="center" wrapText="1"/>
    </xf>
    <xf numFmtId="3" fontId="1" fillId="0" borderId="15" xfId="0" applyNumberFormat="1" applyFont="1" applyFill="1" applyBorder="1" applyAlignment="1">
      <alignment horizontal="right" vertical="center" wrapText="1"/>
    </xf>
    <xf numFmtId="0" fontId="61" fillId="0" borderId="16" xfId="0" applyFont="1" applyBorder="1" applyAlignment="1">
      <alignment horizontal="right" vertical="center" wrapText="1"/>
    </xf>
    <xf numFmtId="0" fontId="61" fillId="0" borderId="15" xfId="0" applyFont="1" applyBorder="1" applyAlignment="1">
      <alignment horizontal="right" vertical="center" wrapText="1"/>
    </xf>
    <xf numFmtId="0" fontId="26" fillId="0" borderId="0" xfId="0" applyFont="1" applyFill="1" applyBorder="1" applyAlignment="1">
      <alignment horizontal="right"/>
    </xf>
    <xf numFmtId="0" fontId="90" fillId="0" borderId="0" xfId="0" applyFont="1" applyAlignment="1">
      <alignment horizontal="center"/>
    </xf>
    <xf numFmtId="9" fontId="49" fillId="0" borderId="0" xfId="68" applyFont="1" applyFill="1" applyBorder="1" applyAlignment="1">
      <alignment horizontal="right"/>
    </xf>
    <xf numFmtId="0" fontId="24" fillId="0" borderId="0" xfId="0" applyFont="1" applyFill="1" applyBorder="1" applyAlignment="1">
      <alignment horizontal="left"/>
    </xf>
    <xf numFmtId="4" fontId="18" fillId="0" borderId="0" xfId="0" applyNumberFormat="1" applyFont="1" applyFill="1" applyBorder="1" applyAlignment="1">
      <alignment horizontal="center"/>
    </xf>
    <xf numFmtId="0" fontId="49" fillId="0" borderId="0" xfId="0" applyFont="1" applyFill="1" applyBorder="1" applyAlignment="1">
      <alignment horizontal="center"/>
    </xf>
    <xf numFmtId="9" fontId="43" fillId="0" borderId="25" xfId="68" applyFont="1" applyFill="1" applyBorder="1" applyAlignment="1">
      <alignment horizontal="center"/>
    </xf>
    <xf numFmtId="0" fontId="36" fillId="0" borderId="11" xfId="0" applyFont="1" applyFill="1" applyBorder="1" applyAlignment="1">
      <alignment horizontal="left" vertical="center" wrapText="1"/>
    </xf>
    <xf numFmtId="0" fontId="36" fillId="0" borderId="11" xfId="0" applyFont="1" applyFill="1" applyBorder="1" applyAlignment="1">
      <alignment horizontal="center" vertical="center" wrapText="1"/>
    </xf>
    <xf numFmtId="3" fontId="36" fillId="0" borderId="10" xfId="0" applyNumberFormat="1" applyFont="1" applyFill="1" applyBorder="1" applyAlignment="1">
      <alignment horizontal="center" vertical="center" wrapText="1"/>
    </xf>
    <xf numFmtId="3" fontId="36" fillId="0" borderId="30" xfId="0" applyNumberFormat="1" applyFont="1" applyFill="1" applyBorder="1" applyAlignment="1">
      <alignment horizontal="center" vertical="center" wrapText="1"/>
    </xf>
    <xf numFmtId="177" fontId="36" fillId="0" borderId="11" xfId="0" applyNumberFormat="1" applyFont="1" applyFill="1" applyBorder="1" applyAlignment="1">
      <alignment horizontal="center" vertical="center" wrapText="1"/>
    </xf>
    <xf numFmtId="9" fontId="36" fillId="0" borderId="11" xfId="68" applyFont="1" applyFill="1" applyBorder="1" applyAlignment="1">
      <alignment horizontal="center" vertical="center" wrapText="1"/>
    </xf>
    <xf numFmtId="3" fontId="36" fillId="0" borderId="11" xfId="0" applyNumberFormat="1" applyFont="1" applyFill="1" applyBorder="1" applyAlignment="1">
      <alignment horizontal="center" vertical="center" wrapText="1"/>
    </xf>
    <xf numFmtId="9" fontId="36" fillId="0" borderId="31" xfId="68" applyFont="1" applyFill="1" applyBorder="1" applyAlignment="1">
      <alignment horizontal="center" vertical="center" wrapText="1"/>
    </xf>
    <xf numFmtId="9" fontId="36" fillId="0" borderId="21" xfId="68" applyFont="1" applyFill="1" applyBorder="1" applyAlignment="1">
      <alignment horizontal="center" vertical="center" wrapText="1"/>
    </xf>
    <xf numFmtId="0" fontId="43" fillId="0" borderId="0" xfId="0" applyFont="1" applyAlignment="1">
      <alignment horizontal="center"/>
    </xf>
    <xf numFmtId="0" fontId="36" fillId="0" borderId="0" xfId="0" applyFont="1" applyAlignment="1">
      <alignment horizontal="center"/>
    </xf>
    <xf numFmtId="4" fontId="49" fillId="0" borderId="0" xfId="0" applyNumberFormat="1" applyFont="1" applyFill="1" applyBorder="1" applyAlignment="1">
      <alignment horizontal="center"/>
    </xf>
    <xf numFmtId="0" fontId="18" fillId="0" borderId="0" xfId="0" applyFont="1" applyFill="1" applyBorder="1" applyAlignment="1">
      <alignment horizontal="left"/>
    </xf>
    <xf numFmtId="0" fontId="43" fillId="0" borderId="0" xfId="0" applyFont="1" applyFill="1" applyBorder="1" applyAlignment="1">
      <alignment horizontal="left" wrapText="1"/>
    </xf>
    <xf numFmtId="0" fontId="44" fillId="0" borderId="0" xfId="0" applyFont="1" applyAlignment="1">
      <alignment horizontal="center"/>
    </xf>
    <xf numFmtId="0" fontId="41" fillId="0" borderId="32" xfId="0" applyFont="1" applyBorder="1" applyAlignment="1">
      <alignment horizontal="center"/>
    </xf>
    <xf numFmtId="0" fontId="87" fillId="0" borderId="25" xfId="0" applyFont="1" applyBorder="1" applyAlignment="1">
      <alignment horizontal="center"/>
    </xf>
    <xf numFmtId="0" fontId="88" fillId="0" borderId="31" xfId="0" applyFont="1" applyBorder="1" applyAlignment="1">
      <alignment horizontal="center" vertical="center" wrapText="1"/>
    </xf>
    <xf numFmtId="0" fontId="0" fillId="0" borderId="21" xfId="0" applyFont="1" applyBorder="1" applyAlignment="1">
      <alignment horizontal="center" vertical="center" wrapText="1"/>
    </xf>
    <xf numFmtId="0" fontId="80" fillId="0" borderId="31" xfId="0" applyFont="1" applyBorder="1" applyAlignment="1">
      <alignment horizontal="center" vertical="center" wrapText="1"/>
    </xf>
    <xf numFmtId="0" fontId="44" fillId="0" borderId="10" xfId="0" applyFont="1" applyBorder="1" applyAlignment="1">
      <alignment horizontal="center"/>
    </xf>
    <xf numFmtId="0" fontId="44" fillId="0" borderId="30" xfId="0" applyFont="1" applyBorder="1" applyAlignment="1">
      <alignment horizontal="center"/>
    </xf>
    <xf numFmtId="0" fontId="44" fillId="0" borderId="12" xfId="0" applyFont="1" applyBorder="1" applyAlignment="1">
      <alignment horizontal="center" vertical="center" wrapText="1"/>
    </xf>
    <xf numFmtId="0" fontId="44" fillId="0" borderId="32" xfId="0" applyFont="1" applyBorder="1" applyAlignment="1">
      <alignment horizontal="center" vertical="center" wrapText="1"/>
    </xf>
    <xf numFmtId="0" fontId="44" fillId="0" borderId="34"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35" xfId="0" applyFont="1" applyBorder="1" applyAlignment="1">
      <alignment horizontal="center" vertical="center" wrapText="1"/>
    </xf>
  </cellXfs>
  <cellStyles count="60">
    <cellStyle name="Normal" xfId="0"/>
    <cellStyle name="&#13;&#10;JournalTemplate=C:\COMFO\CTALK\JOURSTD.TPL&#13;&#10;LbStateAddress=3 3 0 251 1 89 2 311&#13;&#10;LbStateJou" xfId="15"/>
    <cellStyle name="&#13;&#10;JournalTemplate=C:\COMFO\CTALK\JOURSTD.TPL&#13;&#10;LbStateAddress=3 3 0 251 1 89 2 311&#13;&#10;LbStateJou 3" xfId="16"/>
    <cellStyle name="20% - Accent1" xfId="17"/>
    <cellStyle name="20% - Accent2" xfId="18"/>
    <cellStyle name="20% - Accent3" xfId="19"/>
    <cellStyle name="20% - Accent4" xfId="20"/>
    <cellStyle name="20% - Accent5" xfId="21"/>
    <cellStyle name="20% - Accent6" xfId="22"/>
    <cellStyle name="40% - Accent1" xfId="23"/>
    <cellStyle name="40% - Accent2" xfId="24"/>
    <cellStyle name="40% - Accent3" xfId="25"/>
    <cellStyle name="40% - Accent4" xfId="26"/>
    <cellStyle name="40% - Accent5" xfId="27"/>
    <cellStyle name="40% - Accent6" xfId="28"/>
    <cellStyle name="60% - Accent1" xfId="29"/>
    <cellStyle name="60% - Accent2" xfId="30"/>
    <cellStyle name="60% - Accent3" xfId="31"/>
    <cellStyle name="60% - Accent4" xfId="32"/>
    <cellStyle name="60% - Accent5" xfId="33"/>
    <cellStyle name="60% - Accent6" xfId="34"/>
    <cellStyle name="Accent1" xfId="35"/>
    <cellStyle name="Accent2" xfId="36"/>
    <cellStyle name="Accent3" xfId="37"/>
    <cellStyle name="Accent4" xfId="38"/>
    <cellStyle name="Accent5" xfId="39"/>
    <cellStyle name="Accent6" xfId="40"/>
    <cellStyle name="Bad" xfId="41"/>
    <cellStyle name="Bình Thường_2010" xfId="42"/>
    <cellStyle name="Calculation" xfId="43"/>
    <cellStyle name="Check Cell" xfId="44"/>
    <cellStyle name="Comma" xfId="45"/>
    <cellStyle name="Comma [0]" xfId="46"/>
    <cellStyle name="Currency" xfId="47"/>
    <cellStyle name="Currency [0]" xfId="48"/>
    <cellStyle name="Explanatory Text" xfId="49"/>
    <cellStyle name="Followed Hyperlink" xfId="50"/>
    <cellStyle name="Good" xfId="51"/>
    <cellStyle name="Heading 1" xfId="52"/>
    <cellStyle name="Heading 2" xfId="53"/>
    <cellStyle name="Heading 3" xfId="54"/>
    <cellStyle name="Heading 4" xfId="55"/>
    <cellStyle name="Hyperlink" xfId="56"/>
    <cellStyle name="Input" xfId="57"/>
    <cellStyle name="Linked Cell" xfId="58"/>
    <cellStyle name="Neutral" xfId="59"/>
    <cellStyle name="Normal 16 2" xfId="60"/>
    <cellStyle name="Normal 2_30_210_2_trinhhdndpchuanqt" xfId="61"/>
    <cellStyle name="Normal_Báo cáo HDND 2" xfId="62"/>
    <cellStyle name="Normal_bieu 45" xfId="63"/>
    <cellStyle name="Normal_Bieu mau (CV )" xfId="64"/>
    <cellStyle name="Normal_Sheet1" xfId="65"/>
    <cellStyle name="Note" xfId="66"/>
    <cellStyle name="Output" xfId="67"/>
    <cellStyle name="Percent" xfId="68"/>
    <cellStyle name="Style 1" xfId="69"/>
    <cellStyle name="Style 1 4" xfId="70"/>
    <cellStyle name="Title" xfId="71"/>
    <cellStyle name="Total" xfId="72"/>
    <cellStyle name="Warning Text"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C&#417;%20quan\quyet%20toan\N&#259;m%202013\Ch&#7883;%20thinh\DT%20&#273;&#7847;u%20n&#259;m%20v&#224;%20c&#225;c%20Q&#272;B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QThuyện"/>
      <sheetName val="Sheet2"/>
      <sheetName val="Chi tiết chi DP"/>
      <sheetName val="Sheet6"/>
      <sheetName val="MẢng"/>
      <sheetName val="TGiáo"/>
      <sheetName val="M Chà"/>
      <sheetName val="ĐBiên"/>
      <sheetName val="Tủa Chùa"/>
      <sheetName val="Mường Nhé"/>
      <sheetName val="Điện Biên Đông"/>
      <sheetName val="TXML"/>
      <sheetName val="TPĐBP"/>
      <sheetName val="Sheet3"/>
      <sheetName val="Sheet5"/>
      <sheetName val="Sheet4"/>
    </sheetNames>
    <sheetDataSet>
      <sheetData sheetId="2">
        <row r="33">
          <cell r="AD33">
            <v>100000000</v>
          </cell>
        </row>
        <row r="103">
          <cell r="AD103">
            <v>1685629297</v>
          </cell>
        </row>
        <row r="148">
          <cell r="AD148">
            <v>1295297700</v>
          </cell>
        </row>
        <row r="245">
          <cell r="AD245">
            <v>3795703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2.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42"/>
  <sheetViews>
    <sheetView zoomScalePageLayoutView="0" workbookViewId="0" topLeftCell="A16">
      <selection activeCell="B14" sqref="B14"/>
    </sheetView>
  </sheetViews>
  <sheetFormatPr defaultColWidth="9.140625" defaultRowHeight="12.75"/>
  <cols>
    <col min="1" max="1" width="4.00390625" style="641" customWidth="1"/>
    <col min="2" max="2" width="57.57421875" style="641" customWidth="1"/>
    <col min="3" max="3" width="11.421875" style="604" customWidth="1"/>
    <col min="4" max="4" width="10.421875" style="643" customWidth="1"/>
    <col min="5" max="5" width="14.00390625" style="645" customWidth="1"/>
    <col min="6" max="6" width="8.28125" style="641" customWidth="1"/>
    <col min="7" max="7" width="8.421875" style="641" customWidth="1"/>
    <col min="8" max="8" width="9.140625" style="641" customWidth="1"/>
    <col min="9" max="9" width="17.00390625" style="641" customWidth="1"/>
    <col min="10" max="10" width="12.140625" style="641" customWidth="1"/>
    <col min="11" max="11" width="20.8515625" style="642" customWidth="1"/>
    <col min="12" max="12" width="13.28125" style="641" customWidth="1"/>
    <col min="13" max="16384" width="9.140625" style="641" customWidth="1"/>
  </cols>
  <sheetData>
    <row r="1" spans="1:11" s="77" customFormat="1" ht="21" customHeight="1">
      <c r="A1" s="1057" t="s">
        <v>799</v>
      </c>
      <c r="B1" s="1057"/>
      <c r="C1" s="604"/>
      <c r="D1" s="1058" t="s">
        <v>1703</v>
      </c>
      <c r="E1" s="1058"/>
      <c r="F1" s="1058"/>
      <c r="G1" s="1058"/>
      <c r="K1" s="605"/>
    </row>
    <row r="2" spans="1:11" s="77" customFormat="1" ht="27.75" customHeight="1">
      <c r="A2" s="1059" t="s">
        <v>1704</v>
      </c>
      <c r="B2" s="1059"/>
      <c r="C2" s="1059"/>
      <c r="D2" s="1059"/>
      <c r="E2" s="1059"/>
      <c r="F2" s="1059"/>
      <c r="G2" s="1059"/>
      <c r="K2" s="605"/>
    </row>
    <row r="3" spans="1:11" s="77" customFormat="1" ht="32.25" customHeight="1">
      <c r="A3" s="606"/>
      <c r="B3" s="606"/>
      <c r="C3" s="1060" t="s">
        <v>802</v>
      </c>
      <c r="D3" s="1060"/>
      <c r="E3" s="1060"/>
      <c r="F3" s="1060"/>
      <c r="G3" s="1060"/>
      <c r="K3" s="605"/>
    </row>
    <row r="4" spans="1:11" s="77" customFormat="1" ht="24.75" customHeight="1">
      <c r="A4" s="1050" t="s">
        <v>1038</v>
      </c>
      <c r="B4" s="1050" t="s">
        <v>1073</v>
      </c>
      <c r="C4" s="1052" t="s">
        <v>805</v>
      </c>
      <c r="D4" s="1053"/>
      <c r="E4" s="1054" t="s">
        <v>806</v>
      </c>
      <c r="F4" s="1044" t="s">
        <v>1705</v>
      </c>
      <c r="G4" s="1045"/>
      <c r="K4" s="605"/>
    </row>
    <row r="5" spans="1:11" s="77" customFormat="1" ht="24.75" customHeight="1">
      <c r="A5" s="1051"/>
      <c r="B5" s="1051"/>
      <c r="C5" s="1046" t="s">
        <v>1706</v>
      </c>
      <c r="D5" s="1046" t="s">
        <v>1707</v>
      </c>
      <c r="E5" s="1055"/>
      <c r="F5" s="1048" t="s">
        <v>1708</v>
      </c>
      <c r="G5" s="1048" t="s">
        <v>1709</v>
      </c>
      <c r="K5" s="605"/>
    </row>
    <row r="6" spans="1:11" s="77" customFormat="1" ht="24.75" customHeight="1">
      <c r="A6" s="1049"/>
      <c r="B6" s="1049"/>
      <c r="C6" s="1047"/>
      <c r="D6" s="1047"/>
      <c r="E6" s="1056"/>
      <c r="F6" s="1049"/>
      <c r="G6" s="1049"/>
      <c r="K6" s="605"/>
    </row>
    <row r="7" spans="1:11" s="77" customFormat="1" ht="19.5" customHeight="1">
      <c r="A7" s="607" t="s">
        <v>1077</v>
      </c>
      <c r="B7" s="608" t="s">
        <v>1710</v>
      </c>
      <c r="C7" s="609">
        <f>SUM(C8:C10)</f>
        <v>727000</v>
      </c>
      <c r="D7" s="609">
        <f>SUM(D8:D10)</f>
        <v>727000</v>
      </c>
      <c r="E7" s="610">
        <f>SUM(E8:E10)</f>
        <v>838060.91</v>
      </c>
      <c r="F7" s="611">
        <f>SUM(E7/C7)</f>
        <v>1.152766038514443</v>
      </c>
      <c r="G7" s="611">
        <f>SUM(E7/D7)</f>
        <v>1.152766038514443</v>
      </c>
      <c r="K7" s="605"/>
    </row>
    <row r="8" spans="1:11" s="77" customFormat="1" ht="19.5" customHeight="1">
      <c r="A8" s="612">
        <v>1</v>
      </c>
      <c r="B8" s="613" t="s">
        <v>1711</v>
      </c>
      <c r="C8" s="614">
        <v>705000</v>
      </c>
      <c r="D8" s="614">
        <v>705000</v>
      </c>
      <c r="E8" s="615">
        <v>791741.14</v>
      </c>
      <c r="F8" s="616">
        <f>SUM(E8/C8)</f>
        <v>1.1230370780141845</v>
      </c>
      <c r="G8" s="616">
        <f>SUM(E8/D8)</f>
        <v>1.1230370780141845</v>
      </c>
      <c r="K8" s="605"/>
    </row>
    <row r="9" spans="1:11" s="77" customFormat="1" ht="19.5" customHeight="1">
      <c r="A9" s="612">
        <v>2</v>
      </c>
      <c r="B9" s="613" t="s">
        <v>1712</v>
      </c>
      <c r="C9" s="614">
        <v>22000</v>
      </c>
      <c r="D9" s="614">
        <v>22000</v>
      </c>
      <c r="E9" s="615">
        <v>35058.14</v>
      </c>
      <c r="F9" s="616">
        <f>SUM(E9/C9)</f>
        <v>1.5935518181818182</v>
      </c>
      <c r="G9" s="616">
        <f>SUM(E9/D9)</f>
        <v>1.5935518181818182</v>
      </c>
      <c r="K9" s="605"/>
    </row>
    <row r="10" spans="1:11" s="77" customFormat="1" ht="19.5" customHeight="1">
      <c r="A10" s="612">
        <v>3</v>
      </c>
      <c r="B10" s="613" t="s">
        <v>1713</v>
      </c>
      <c r="C10" s="614"/>
      <c r="D10" s="614"/>
      <c r="E10" s="615">
        <v>11261.63</v>
      </c>
      <c r="F10" s="617"/>
      <c r="G10" s="617"/>
      <c r="K10" s="605"/>
    </row>
    <row r="11" spans="1:11" s="77" customFormat="1" ht="19.5" customHeight="1">
      <c r="A11" s="618" t="s">
        <v>1100</v>
      </c>
      <c r="B11" s="619" t="s">
        <v>1714</v>
      </c>
      <c r="C11" s="1040">
        <f>SUM(C12,C15,C19:C24)</f>
        <v>6628924</v>
      </c>
      <c r="D11" s="1040">
        <f>SUM(D12,D15,D19:D24)</f>
        <v>6651424</v>
      </c>
      <c r="E11" s="620">
        <f>SUM(E12,E15,E19:E24)</f>
        <v>9064421.059999999</v>
      </c>
      <c r="F11" s="621">
        <f aca="true" t="shared" si="0" ref="F11:F18">SUM(E11/C11)</f>
        <v>1.3674045833079393</v>
      </c>
      <c r="G11" s="621">
        <f>SUM(E11/D11)</f>
        <v>1.3627790169443414</v>
      </c>
      <c r="I11" s="622"/>
      <c r="K11" s="605"/>
    </row>
    <row r="12" spans="1:11" s="77" customFormat="1" ht="19.5" customHeight="1">
      <c r="A12" s="612">
        <v>1</v>
      </c>
      <c r="B12" s="613" t="s">
        <v>0</v>
      </c>
      <c r="C12" s="614">
        <f>SUM(C13:C14)</f>
        <v>696600</v>
      </c>
      <c r="D12" s="614">
        <f>SUM(D13:D14)</f>
        <v>696600</v>
      </c>
      <c r="E12" s="623">
        <f>SUM(E13:E14)</f>
        <v>777691.9</v>
      </c>
      <c r="F12" s="624">
        <f>SUM(E12/C12)</f>
        <v>1.1164109962675854</v>
      </c>
      <c r="G12" s="624">
        <f>SUM(E12/D12)</f>
        <v>1.1164109962675854</v>
      </c>
      <c r="K12" s="605"/>
    </row>
    <row r="13" spans="1:11" s="77" customFormat="1" ht="19.5" customHeight="1">
      <c r="A13" s="612"/>
      <c r="B13" s="613" t="s">
        <v>1</v>
      </c>
      <c r="C13" s="625">
        <v>256413</v>
      </c>
      <c r="D13" s="625">
        <v>256413</v>
      </c>
      <c r="E13" s="615">
        <v>329399.14</v>
      </c>
      <c r="F13" s="616">
        <f t="shared" si="0"/>
        <v>1.2846429003209667</v>
      </c>
      <c r="G13" s="616">
        <f aca="true" t="shared" si="1" ref="G13:G30">SUM(E13/D13)</f>
        <v>1.2846429003209667</v>
      </c>
      <c r="K13" s="605"/>
    </row>
    <row r="14" spans="1:11" s="77" customFormat="1" ht="19.5" customHeight="1">
      <c r="A14" s="612"/>
      <c r="B14" s="613" t="s">
        <v>2</v>
      </c>
      <c r="C14" s="625">
        <v>440187</v>
      </c>
      <c r="D14" s="625">
        <v>440187</v>
      </c>
      <c r="E14" s="615">
        <v>448292.76</v>
      </c>
      <c r="F14" s="616">
        <f t="shared" si="0"/>
        <v>1.018414355717002</v>
      </c>
      <c r="G14" s="616">
        <f t="shared" si="1"/>
        <v>1.018414355717002</v>
      </c>
      <c r="K14" s="605"/>
    </row>
    <row r="15" spans="1:11" s="77" customFormat="1" ht="19.5" customHeight="1">
      <c r="A15" s="612">
        <v>2</v>
      </c>
      <c r="B15" s="613" t="s">
        <v>1083</v>
      </c>
      <c r="C15" s="614">
        <f>SUM(C16:C18)</f>
        <v>5932324</v>
      </c>
      <c r="D15" s="614">
        <f>SUM(D16:D18)</f>
        <v>5932324</v>
      </c>
      <c r="E15" s="626">
        <f>SUM(E16:E18)</f>
        <v>6780568.029999999</v>
      </c>
      <c r="F15" s="616">
        <f t="shared" si="0"/>
        <v>1.1429868007883588</v>
      </c>
      <c r="G15" s="616">
        <f t="shared" si="1"/>
        <v>1.1429868007883588</v>
      </c>
      <c r="K15" s="605"/>
    </row>
    <row r="16" spans="1:11" s="77" customFormat="1" ht="19.5" customHeight="1">
      <c r="A16" s="612"/>
      <c r="B16" s="613" t="s">
        <v>1084</v>
      </c>
      <c r="C16" s="627">
        <v>2612446</v>
      </c>
      <c r="D16" s="627">
        <v>2612446</v>
      </c>
      <c r="E16" s="626">
        <v>2612446</v>
      </c>
      <c r="F16" s="616">
        <f t="shared" si="0"/>
        <v>1</v>
      </c>
      <c r="G16" s="616">
        <f t="shared" si="1"/>
        <v>1</v>
      </c>
      <c r="K16" s="605"/>
    </row>
    <row r="17" spans="1:11" s="77" customFormat="1" ht="19.5" customHeight="1">
      <c r="A17" s="612"/>
      <c r="B17" s="613" t="s">
        <v>1085</v>
      </c>
      <c r="C17" s="614">
        <v>2021791</v>
      </c>
      <c r="D17" s="614">
        <v>2021791</v>
      </c>
      <c r="E17" s="626">
        <v>2870035.03</v>
      </c>
      <c r="F17" s="616">
        <f t="shared" si="0"/>
        <v>1.4195507992665908</v>
      </c>
      <c r="G17" s="616">
        <f t="shared" si="1"/>
        <v>1.4195507992665908</v>
      </c>
      <c r="K17" s="605"/>
    </row>
    <row r="18" spans="1:11" s="77" customFormat="1" ht="19.5" customHeight="1">
      <c r="A18" s="612"/>
      <c r="B18" s="628" t="s">
        <v>1086</v>
      </c>
      <c r="C18" s="614">
        <v>1298087</v>
      </c>
      <c r="D18" s="614">
        <v>1298087</v>
      </c>
      <c r="E18" s="626">
        <v>1298087</v>
      </c>
      <c r="F18" s="616">
        <f t="shared" si="0"/>
        <v>1</v>
      </c>
      <c r="G18" s="616"/>
      <c r="K18" s="605"/>
    </row>
    <row r="19" spans="1:11" s="77" customFormat="1" ht="19.5" customHeight="1">
      <c r="A19" s="612">
        <v>3</v>
      </c>
      <c r="B19" s="613" t="s">
        <v>1088</v>
      </c>
      <c r="C19" s="614"/>
      <c r="D19" s="614"/>
      <c r="E19" s="615">
        <v>35850.35</v>
      </c>
      <c r="F19" s="617"/>
      <c r="G19" s="616"/>
      <c r="K19" s="605"/>
    </row>
    <row r="20" spans="1:11" s="77" customFormat="1" ht="19.5" customHeight="1">
      <c r="A20" s="612">
        <v>4</v>
      </c>
      <c r="B20" s="613" t="s">
        <v>1087</v>
      </c>
      <c r="C20" s="614"/>
      <c r="D20" s="614"/>
      <c r="E20" s="615">
        <v>1308855.61</v>
      </c>
      <c r="F20" s="617"/>
      <c r="G20" s="616"/>
      <c r="K20" s="605"/>
    </row>
    <row r="21" spans="1:11" s="77" customFormat="1" ht="19.5" customHeight="1">
      <c r="A21" s="612">
        <v>5</v>
      </c>
      <c r="B21" s="613" t="s">
        <v>1713</v>
      </c>
      <c r="C21" s="614"/>
      <c r="D21" s="614"/>
      <c r="E21" s="615">
        <v>11261.63</v>
      </c>
      <c r="F21" s="617"/>
      <c r="G21" s="616"/>
      <c r="K21" s="605"/>
    </row>
    <row r="22" spans="1:11" s="77" customFormat="1" ht="19.5" customHeight="1">
      <c r="A22" s="612">
        <v>6</v>
      </c>
      <c r="B22" s="613" t="s">
        <v>1090</v>
      </c>
      <c r="C22" s="614"/>
      <c r="D22" s="614"/>
      <c r="E22" s="615">
        <v>3278.75</v>
      </c>
      <c r="F22" s="617"/>
      <c r="G22" s="616"/>
      <c r="K22" s="605"/>
    </row>
    <row r="23" spans="1:11" s="77" customFormat="1" ht="19.5" customHeight="1">
      <c r="A23" s="612">
        <v>7</v>
      </c>
      <c r="B23" s="613" t="s">
        <v>3</v>
      </c>
      <c r="C23" s="614"/>
      <c r="D23" s="614"/>
      <c r="E23" s="615">
        <v>107458</v>
      </c>
      <c r="F23" s="617"/>
      <c r="G23" s="616"/>
      <c r="K23" s="605"/>
    </row>
    <row r="24" spans="1:11" s="77" customFormat="1" ht="19.5" customHeight="1">
      <c r="A24" s="612">
        <v>8</v>
      </c>
      <c r="B24" s="613" t="s">
        <v>4</v>
      </c>
      <c r="C24" s="614"/>
      <c r="D24" s="614">
        <v>22500</v>
      </c>
      <c r="E24" s="615">
        <v>39456.79</v>
      </c>
      <c r="F24" s="617"/>
      <c r="G24" s="616"/>
      <c r="K24" s="605"/>
    </row>
    <row r="25" spans="1:11" s="77" customFormat="1" ht="19.5" customHeight="1">
      <c r="A25" s="618" t="s">
        <v>5</v>
      </c>
      <c r="B25" s="619" t="s">
        <v>6</v>
      </c>
      <c r="C25" s="1040">
        <f>SUM(C26:C33)</f>
        <v>6628924</v>
      </c>
      <c r="D25" s="1040">
        <f>SUM(D26:D33)</f>
        <v>6651424</v>
      </c>
      <c r="E25" s="620">
        <f>SUM(E26:E33)</f>
        <v>9016790.67</v>
      </c>
      <c r="F25" s="611">
        <f>SUM(E25/C25)</f>
        <v>1.3602193463071834</v>
      </c>
      <c r="G25" s="611">
        <f t="shared" si="1"/>
        <v>1.3556180856911242</v>
      </c>
      <c r="I25" s="115"/>
      <c r="J25" s="629"/>
      <c r="K25" s="605"/>
    </row>
    <row r="26" spans="1:11" s="77" customFormat="1" ht="19.5" customHeight="1">
      <c r="A26" s="612">
        <v>1</v>
      </c>
      <c r="B26" s="613" t="s">
        <v>808</v>
      </c>
      <c r="C26" s="627">
        <v>1390950</v>
      </c>
      <c r="D26" s="627">
        <v>1294846</v>
      </c>
      <c r="E26" s="630">
        <v>1423085.32</v>
      </c>
      <c r="F26" s="616">
        <f>SUM(E26/C26)</f>
        <v>1.023103145332327</v>
      </c>
      <c r="G26" s="616">
        <f t="shared" si="1"/>
        <v>1.0990382794556264</v>
      </c>
      <c r="I26" s="115"/>
      <c r="K26" s="605"/>
    </row>
    <row r="27" spans="1:12" s="77" customFormat="1" ht="19.5" customHeight="1">
      <c r="A27" s="612">
        <v>2</v>
      </c>
      <c r="B27" s="613" t="s">
        <v>809</v>
      </c>
      <c r="C27" s="627">
        <v>5121794</v>
      </c>
      <c r="D27" s="627">
        <v>5132544</v>
      </c>
      <c r="E27" s="630">
        <v>5669186.18</v>
      </c>
      <c r="F27" s="616">
        <f>SUM(E27/C27)</f>
        <v>1.1068750871276742</v>
      </c>
      <c r="G27" s="616">
        <f t="shared" si="1"/>
        <v>1.104556761715048</v>
      </c>
      <c r="I27" s="115"/>
      <c r="J27" s="121"/>
      <c r="K27" s="605"/>
      <c r="L27" s="115"/>
    </row>
    <row r="28" spans="1:11" s="77" customFormat="1" ht="19.5" customHeight="1">
      <c r="A28" s="612">
        <v>3</v>
      </c>
      <c r="B28" s="613" t="s">
        <v>7</v>
      </c>
      <c r="C28" s="627"/>
      <c r="D28" s="627">
        <v>85354</v>
      </c>
      <c r="E28" s="630">
        <v>105854.3</v>
      </c>
      <c r="F28" s="616"/>
      <c r="G28" s="616">
        <f t="shared" si="1"/>
        <v>1.2401797220985542</v>
      </c>
      <c r="I28" s="631"/>
      <c r="J28" s="121"/>
      <c r="K28" s="605"/>
    </row>
    <row r="29" spans="1:11" s="77" customFormat="1" ht="19.5" customHeight="1">
      <c r="A29" s="612">
        <v>4</v>
      </c>
      <c r="B29" s="613" t="s">
        <v>8</v>
      </c>
      <c r="C29" s="627">
        <v>115180</v>
      </c>
      <c r="D29" s="627">
        <v>115180</v>
      </c>
      <c r="E29" s="630"/>
      <c r="F29" s="616"/>
      <c r="G29" s="616"/>
      <c r="I29" s="115"/>
      <c r="J29" s="121"/>
      <c r="K29" s="605"/>
    </row>
    <row r="30" spans="1:11" s="77" customFormat="1" ht="19.5" customHeight="1">
      <c r="A30" s="612">
        <v>5</v>
      </c>
      <c r="B30" s="613" t="s">
        <v>9</v>
      </c>
      <c r="C30" s="627">
        <v>1000</v>
      </c>
      <c r="D30" s="627">
        <v>1000</v>
      </c>
      <c r="E30" s="630">
        <v>1000</v>
      </c>
      <c r="F30" s="616">
        <f>SUM(E30/C30)</f>
        <v>1</v>
      </c>
      <c r="G30" s="616">
        <f t="shared" si="1"/>
        <v>1</v>
      </c>
      <c r="I30" s="121"/>
      <c r="K30" s="605"/>
    </row>
    <row r="31" spans="1:11" s="77" customFormat="1" ht="19.5" customHeight="1">
      <c r="A31" s="612">
        <v>6</v>
      </c>
      <c r="B31" s="632" t="s">
        <v>10</v>
      </c>
      <c r="C31" s="633"/>
      <c r="D31" s="633"/>
      <c r="E31" s="634">
        <v>114032.08</v>
      </c>
      <c r="F31" s="635"/>
      <c r="G31" s="635"/>
      <c r="I31" s="121"/>
      <c r="K31" s="605"/>
    </row>
    <row r="32" spans="1:11" s="77" customFormat="1" ht="19.5" customHeight="1">
      <c r="A32" s="612">
        <v>7</v>
      </c>
      <c r="B32" s="613" t="s">
        <v>11</v>
      </c>
      <c r="C32" s="627"/>
      <c r="D32" s="627"/>
      <c r="E32" s="630">
        <v>1632761.01</v>
      </c>
      <c r="F32" s="636"/>
      <c r="G32" s="636"/>
      <c r="I32" s="637"/>
      <c r="J32" s="629"/>
      <c r="K32" s="605"/>
    </row>
    <row r="33" spans="1:11" s="77" customFormat="1" ht="19.5" customHeight="1">
      <c r="A33" s="612">
        <v>8</v>
      </c>
      <c r="B33" s="613" t="s">
        <v>12</v>
      </c>
      <c r="C33" s="614"/>
      <c r="D33" s="614">
        <v>22500</v>
      </c>
      <c r="E33" s="630">
        <v>70871.78</v>
      </c>
      <c r="F33" s="636"/>
      <c r="G33" s="636"/>
      <c r="K33" s="605"/>
    </row>
    <row r="34" spans="1:7" ht="19.5" customHeight="1">
      <c r="A34" s="638"/>
      <c r="B34" s="638"/>
      <c r="C34" s="639"/>
      <c r="D34" s="639"/>
      <c r="E34" s="640"/>
      <c r="F34" s="638"/>
      <c r="G34" s="638"/>
    </row>
    <row r="35" spans="5:7" ht="15.75">
      <c r="E35" s="643"/>
      <c r="F35" s="644"/>
      <c r="G35" s="644"/>
    </row>
    <row r="36" spans="3:7" ht="15.75">
      <c r="C36" s="1041"/>
      <c r="D36" s="1041"/>
      <c r="E36" s="1041"/>
      <c r="F36" s="1041"/>
      <c r="G36" s="1041"/>
    </row>
    <row r="37" spans="3:7" ht="15.75">
      <c r="C37" s="1042"/>
      <c r="D37" s="1042"/>
      <c r="E37" s="1042"/>
      <c r="F37" s="1042"/>
      <c r="G37" s="1042"/>
    </row>
    <row r="38" spans="3:7" ht="15.75">
      <c r="C38" s="1043"/>
      <c r="D38" s="1043"/>
      <c r="E38" s="1043"/>
      <c r="F38" s="1043"/>
      <c r="G38" s="1043"/>
    </row>
    <row r="40" ht="15.75">
      <c r="E40" s="646"/>
    </row>
    <row r="42" ht="15.75">
      <c r="E42" s="646"/>
    </row>
  </sheetData>
  <sheetProtection/>
  <mergeCells count="16">
    <mergeCell ref="A4:A6"/>
    <mergeCell ref="B4:B6"/>
    <mergeCell ref="C4:D4"/>
    <mergeCell ref="E4:E6"/>
    <mergeCell ref="A1:B1"/>
    <mergeCell ref="D1:G1"/>
    <mergeCell ref="A2:G2"/>
    <mergeCell ref="C3:G3"/>
    <mergeCell ref="C36:G36"/>
    <mergeCell ref="C37:G37"/>
    <mergeCell ref="C38:G38"/>
    <mergeCell ref="F4:G4"/>
    <mergeCell ref="C5:C6"/>
    <mergeCell ref="D5:D6"/>
    <mergeCell ref="F5:F6"/>
    <mergeCell ref="G5:G6"/>
  </mergeCells>
  <printOptions horizontalCentered="1"/>
  <pageMargins left="0.25" right="0.25" top="0.5" bottom="0.25" header="0.5" footer="0.5"/>
  <pageSetup horizontalDpi="600" verticalDpi="600" orientation="portrait" paperSize="9" scale="85" r:id="rId1"/>
</worksheet>
</file>

<file path=xl/worksheets/sheet10.xml><?xml version="1.0" encoding="utf-8"?>
<worksheet xmlns="http://schemas.openxmlformats.org/spreadsheetml/2006/main" xmlns:r="http://schemas.openxmlformats.org/officeDocument/2006/relationships">
  <dimension ref="A1:H33"/>
  <sheetViews>
    <sheetView tabSelected="1" zoomScalePageLayoutView="0" workbookViewId="0" topLeftCell="A1">
      <selection activeCell="D39" sqref="D39"/>
    </sheetView>
  </sheetViews>
  <sheetFormatPr defaultColWidth="9.140625" defaultRowHeight="12.75"/>
  <cols>
    <col min="1" max="1" width="6.00390625" style="951" customWidth="1"/>
    <col min="2" max="2" width="46.7109375" style="951" customWidth="1"/>
    <col min="3" max="3" width="12.57421875" style="951" customWidth="1"/>
    <col min="4" max="4" width="13.421875" style="951" customWidth="1"/>
    <col min="5" max="5" width="15.00390625" style="951" customWidth="1"/>
    <col min="6" max="16384" width="9.140625" style="951" customWidth="1"/>
  </cols>
  <sheetData>
    <row r="1" spans="1:5" ht="15.75">
      <c r="A1" s="139" t="s">
        <v>799</v>
      </c>
      <c r="C1" s="1237" t="s">
        <v>273</v>
      </c>
      <c r="D1" s="1237"/>
      <c r="E1" s="1237"/>
    </row>
    <row r="2" spans="1:5" ht="15.75">
      <c r="A2" s="139"/>
      <c r="C2" s="952"/>
      <c r="D2" s="952"/>
      <c r="E2" s="952"/>
    </row>
    <row r="3" spans="1:5" ht="18.75">
      <c r="A3" s="1238" t="s">
        <v>274</v>
      </c>
      <c r="B3" s="1238"/>
      <c r="C3" s="1238"/>
      <c r="D3" s="1238"/>
      <c r="E3" s="1238"/>
    </row>
    <row r="4" spans="1:5" ht="15.75">
      <c r="A4" s="1181"/>
      <c r="B4" s="1181"/>
      <c r="C4" s="1181"/>
      <c r="D4" s="1181"/>
      <c r="E4" s="1181"/>
    </row>
    <row r="5" spans="1:5" ht="15">
      <c r="A5" s="1108"/>
      <c r="B5" s="1108"/>
      <c r="C5" s="1108"/>
      <c r="D5" s="1108"/>
      <c r="E5" s="1108"/>
    </row>
    <row r="6" spans="3:5" ht="36.75" customHeight="1">
      <c r="C6" s="1226" t="s">
        <v>802</v>
      </c>
      <c r="D6" s="1226"/>
      <c r="E6" s="1226"/>
    </row>
    <row r="7" spans="1:5" ht="45.75" customHeight="1">
      <c r="A7" s="652" t="s">
        <v>1038</v>
      </c>
      <c r="B7" s="652" t="s">
        <v>1073</v>
      </c>
      <c r="C7" s="652" t="s">
        <v>1074</v>
      </c>
      <c r="D7" s="652" t="s">
        <v>1075</v>
      </c>
      <c r="E7" s="652" t="s">
        <v>275</v>
      </c>
    </row>
    <row r="8" spans="1:5" ht="19.5" customHeight="1">
      <c r="A8" s="1227">
        <v>1</v>
      </c>
      <c r="B8" s="1229" t="s">
        <v>276</v>
      </c>
      <c r="C8" s="1231">
        <v>1281021</v>
      </c>
      <c r="D8" s="1233">
        <v>905252</v>
      </c>
      <c r="E8" s="1235"/>
    </row>
    <row r="9" spans="1:7" ht="19.5" customHeight="1">
      <c r="A9" s="1228"/>
      <c r="B9" s="1230"/>
      <c r="C9" s="1232"/>
      <c r="D9" s="1234"/>
      <c r="E9" s="1236"/>
      <c r="G9" s="951">
        <v>108236.92629300001</v>
      </c>
    </row>
    <row r="10" spans="1:5" ht="16.5" customHeight="1">
      <c r="A10" s="1228"/>
      <c r="B10" s="1230"/>
      <c r="C10" s="1232"/>
      <c r="D10" s="1234"/>
      <c r="E10" s="1236"/>
    </row>
    <row r="11" spans="1:5" ht="18.75" customHeight="1" hidden="1">
      <c r="A11" s="1228"/>
      <c r="B11" s="1230"/>
      <c r="C11" s="1232"/>
      <c r="D11" s="1234"/>
      <c r="E11" s="1236"/>
    </row>
    <row r="12" spans="1:5" ht="19.5" customHeight="1">
      <c r="A12" s="953">
        <v>2</v>
      </c>
      <c r="B12" s="954" t="s">
        <v>277</v>
      </c>
      <c r="C12" s="955">
        <f>C8*0.3</f>
        <v>384306.3</v>
      </c>
      <c r="D12" s="956">
        <f>D8*0.3</f>
        <v>271575.6</v>
      </c>
      <c r="E12" s="957"/>
    </row>
    <row r="13" spans="1:5" ht="19.5" customHeight="1">
      <c r="A13" s="953">
        <v>3</v>
      </c>
      <c r="B13" s="954" t="s">
        <v>278</v>
      </c>
      <c r="C13" s="955">
        <f>SUM(C14:C15)</f>
        <v>513487.6</v>
      </c>
      <c r="D13" s="956">
        <f>SUM(D14:D15)</f>
        <v>516711</v>
      </c>
      <c r="E13" s="957"/>
    </row>
    <row r="14" spans="1:5" ht="19.5" customHeight="1">
      <c r="A14" s="953"/>
      <c r="B14" s="954" t="s">
        <v>279</v>
      </c>
      <c r="C14" s="955">
        <v>100000</v>
      </c>
      <c r="D14" s="955">
        <v>79300</v>
      </c>
      <c r="E14" s="957"/>
    </row>
    <row r="15" spans="1:5" ht="19.5" customHeight="1">
      <c r="A15" s="953"/>
      <c r="B15" s="954" t="s">
        <v>280</v>
      </c>
      <c r="C15" s="955">
        <f>SUM(C16:C17)</f>
        <v>413487.6</v>
      </c>
      <c r="D15" s="955">
        <f>SUM(D16:D17)</f>
        <v>437411</v>
      </c>
      <c r="E15" s="957"/>
    </row>
    <row r="16" spans="1:5" ht="27.75" customHeight="1">
      <c r="A16" s="953"/>
      <c r="B16" s="958" t="s">
        <v>281</v>
      </c>
      <c r="C16" s="955">
        <v>361000</v>
      </c>
      <c r="D16" s="955">
        <f>361000+107458-82000</f>
        <v>386458</v>
      </c>
      <c r="E16" s="957"/>
    </row>
    <row r="17" spans="1:5" ht="19.5" customHeight="1">
      <c r="A17" s="953"/>
      <c r="B17" s="954" t="s">
        <v>282</v>
      </c>
      <c r="C17" s="955">
        <f>D17+D24</f>
        <v>52487.6</v>
      </c>
      <c r="D17" s="955">
        <v>50953</v>
      </c>
      <c r="E17" s="957"/>
    </row>
    <row r="18" spans="1:5" ht="19.5" customHeight="1">
      <c r="A18" s="953">
        <v>4</v>
      </c>
      <c r="B18" s="954" t="s">
        <v>283</v>
      </c>
      <c r="C18" s="955">
        <f>C19+C22</f>
        <v>85354</v>
      </c>
      <c r="D18" s="955">
        <f>D19+D22</f>
        <v>105854.6</v>
      </c>
      <c r="E18" s="957"/>
    </row>
    <row r="19" spans="1:5" ht="19.5" customHeight="1">
      <c r="A19" s="953"/>
      <c r="B19" s="954" t="s">
        <v>279</v>
      </c>
      <c r="C19" s="955">
        <f>SUM(C20:C21)</f>
        <v>1800</v>
      </c>
      <c r="D19" s="955">
        <f>SUM(D20:D21)</f>
        <v>22320</v>
      </c>
      <c r="E19" s="957"/>
    </row>
    <row r="20" spans="1:5" ht="19.5" customHeight="1">
      <c r="A20" s="953"/>
      <c r="B20" s="954" t="s">
        <v>284</v>
      </c>
      <c r="C20" s="955">
        <v>1800</v>
      </c>
      <c r="D20" s="959">
        <v>1620</v>
      </c>
      <c r="E20" s="957"/>
    </row>
    <row r="21" spans="1:5" ht="19.5" customHeight="1">
      <c r="A21" s="953"/>
      <c r="B21" s="954" t="s">
        <v>285</v>
      </c>
      <c r="C21" s="955"/>
      <c r="D21" s="955">
        <v>20700</v>
      </c>
      <c r="E21" s="957"/>
    </row>
    <row r="22" spans="1:5" ht="19.5" customHeight="1">
      <c r="A22" s="953"/>
      <c r="B22" s="954" t="s">
        <v>280</v>
      </c>
      <c r="C22" s="955">
        <f>SUM(C23:C24)</f>
        <v>83554</v>
      </c>
      <c r="D22" s="955">
        <f>SUM(D23:D24)</f>
        <v>83534.6</v>
      </c>
      <c r="E22" s="957"/>
    </row>
    <row r="23" spans="1:5" ht="31.5" customHeight="1">
      <c r="A23" s="953"/>
      <c r="B23" s="958" t="s">
        <v>281</v>
      </c>
      <c r="C23" s="955">
        <v>82000</v>
      </c>
      <c r="D23" s="955">
        <v>82000</v>
      </c>
      <c r="E23" s="957"/>
    </row>
    <row r="24" spans="1:5" ht="31.5" customHeight="1">
      <c r="A24" s="953"/>
      <c r="B24" s="954" t="s">
        <v>282</v>
      </c>
      <c r="C24" s="955">
        <v>1554</v>
      </c>
      <c r="D24" s="960">
        <v>1534.6</v>
      </c>
      <c r="E24" s="957"/>
    </row>
    <row r="25" spans="1:5" ht="19.5" customHeight="1">
      <c r="A25" s="953">
        <v>5</v>
      </c>
      <c r="B25" s="954" t="s">
        <v>286</v>
      </c>
      <c r="C25" s="955"/>
      <c r="D25" s="955">
        <f>D26+D27</f>
        <v>107458</v>
      </c>
      <c r="E25" s="957"/>
    </row>
    <row r="26" spans="1:5" ht="19.5" customHeight="1">
      <c r="A26" s="953"/>
      <c r="B26" s="954" t="s">
        <v>279</v>
      </c>
      <c r="C26" s="955"/>
      <c r="D26" s="955"/>
      <c r="E26" s="957"/>
    </row>
    <row r="27" spans="1:5" ht="19.5" customHeight="1">
      <c r="A27" s="953"/>
      <c r="B27" s="954" t="s">
        <v>280</v>
      </c>
      <c r="C27" s="955"/>
      <c r="D27" s="955">
        <f>SUM(D28:D29)</f>
        <v>107458</v>
      </c>
      <c r="E27" s="957"/>
    </row>
    <row r="28" spans="1:5" ht="30.75" customHeight="1">
      <c r="A28" s="961"/>
      <c r="B28" s="958" t="s">
        <v>281</v>
      </c>
      <c r="C28" s="955"/>
      <c r="D28" s="955">
        <v>107458</v>
      </c>
      <c r="E28" s="962"/>
    </row>
    <row r="29" spans="1:5" ht="19.5" customHeight="1">
      <c r="A29" s="961"/>
      <c r="B29" s="954" t="s">
        <v>282</v>
      </c>
      <c r="C29" s="955"/>
      <c r="D29" s="955"/>
      <c r="E29" s="962"/>
    </row>
    <row r="30" spans="1:5" ht="19.5" customHeight="1">
      <c r="A30" s="963"/>
      <c r="B30" s="963"/>
      <c r="C30" s="964"/>
      <c r="D30" s="964"/>
      <c r="E30" s="963"/>
    </row>
    <row r="32" spans="2:8" ht="15.75">
      <c r="B32" s="1041"/>
      <c r="C32" s="1041"/>
      <c r="D32" s="1041"/>
      <c r="E32" s="1041"/>
      <c r="F32" s="1041"/>
      <c r="G32" s="1041"/>
      <c r="H32" s="1041"/>
    </row>
    <row r="33" spans="2:8" ht="15.75">
      <c r="B33" s="1042"/>
      <c r="C33" s="1042"/>
      <c r="D33" s="1042"/>
      <c r="E33" s="1042"/>
      <c r="F33" s="1042"/>
      <c r="G33" s="1042"/>
      <c r="H33" s="1042"/>
    </row>
  </sheetData>
  <sheetProtection/>
  <mergeCells count="12">
    <mergeCell ref="C1:E1"/>
    <mergeCell ref="A3:E3"/>
    <mergeCell ref="A4:E4"/>
    <mergeCell ref="A5:E5"/>
    <mergeCell ref="B32:H32"/>
    <mergeCell ref="B33:H33"/>
    <mergeCell ref="C6:E6"/>
    <mergeCell ref="A8:A11"/>
    <mergeCell ref="B8:B11"/>
    <mergeCell ref="C8:C11"/>
    <mergeCell ref="D8:D11"/>
    <mergeCell ref="E8:E11"/>
  </mergeCells>
  <printOptions horizontalCentered="1"/>
  <pageMargins left="0.5" right="0.5" top="0.5" bottom="0.25" header="0.5" footer="0.5"/>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P90"/>
  <sheetViews>
    <sheetView zoomScalePageLayoutView="0" workbookViewId="0" topLeftCell="A3">
      <selection activeCell="D13" sqref="D13"/>
    </sheetView>
  </sheetViews>
  <sheetFormatPr defaultColWidth="9.140625" defaultRowHeight="12.75"/>
  <cols>
    <col min="1" max="1" width="6.421875" style="806" customWidth="1"/>
    <col min="2" max="2" width="53.57421875" style="800" customWidth="1"/>
    <col min="3" max="3" width="7.140625" style="801" hidden="1" customWidth="1"/>
    <col min="4" max="4" width="10.57421875" style="802" customWidth="1"/>
    <col min="5" max="5" width="11.8515625" style="802" customWidth="1"/>
    <col min="6" max="6" width="13.421875" style="803" customWidth="1"/>
    <col min="7" max="7" width="11.421875" style="803" customWidth="1"/>
    <col min="8" max="8" width="13.28125" style="803" customWidth="1"/>
    <col min="9" max="9" width="16.57421875" style="803" hidden="1" customWidth="1"/>
    <col min="10" max="10" width="14.140625" style="803" hidden="1" customWidth="1"/>
    <col min="11" max="11" width="14.8515625" style="803" hidden="1" customWidth="1"/>
    <col min="12" max="12" width="8.28125" style="807" customWidth="1"/>
    <col min="13" max="13" width="9.8515625" style="807" customWidth="1"/>
    <col min="14" max="14" width="10.00390625" style="800" hidden="1" customWidth="1"/>
    <col min="15" max="15" width="17.421875" style="802" hidden="1" customWidth="1"/>
    <col min="16" max="16384" width="9.140625" style="800" customWidth="1"/>
  </cols>
  <sheetData>
    <row r="1" spans="1:13" ht="24" customHeight="1" hidden="1">
      <c r="A1" s="799" t="s">
        <v>824</v>
      </c>
      <c r="I1" s="804"/>
      <c r="J1" s="804"/>
      <c r="L1" s="1239" t="s">
        <v>825</v>
      </c>
      <c r="M1" s="1239"/>
    </row>
    <row r="2" spans="9:10" ht="15" customHeight="1" hidden="1">
      <c r="I2" s="804"/>
      <c r="J2" s="804"/>
    </row>
    <row r="3" spans="1:13" ht="15" customHeight="1">
      <c r="A3" s="1240" t="s">
        <v>1114</v>
      </c>
      <c r="B3" s="1240"/>
      <c r="I3" s="804"/>
      <c r="J3" s="804"/>
      <c r="K3" s="1241"/>
      <c r="L3" s="1241"/>
      <c r="M3" s="1241"/>
    </row>
    <row r="4" spans="1:13" ht="22.5" customHeight="1">
      <c r="A4" s="1242" t="s">
        <v>826</v>
      </c>
      <c r="B4" s="1242"/>
      <c r="C4" s="1242"/>
      <c r="D4" s="1242"/>
      <c r="E4" s="1242"/>
      <c r="F4" s="1242"/>
      <c r="G4" s="1242"/>
      <c r="H4" s="1242"/>
      <c r="I4" s="1242"/>
      <c r="J4" s="1242"/>
      <c r="K4" s="1242"/>
      <c r="L4" s="1242"/>
      <c r="M4" s="1242"/>
    </row>
    <row r="5" spans="8:13" ht="16.5" customHeight="1">
      <c r="H5" s="1243" t="s">
        <v>827</v>
      </c>
      <c r="I5" s="1243"/>
      <c r="J5" s="1243"/>
      <c r="K5" s="1243"/>
      <c r="L5" s="1243"/>
      <c r="M5" s="1243"/>
    </row>
    <row r="6" spans="1:15" s="810" customFormat="1" ht="31.5" customHeight="1">
      <c r="A6" s="1244" t="s">
        <v>1038</v>
      </c>
      <c r="B6" s="1245" t="s">
        <v>828</v>
      </c>
      <c r="C6" s="808"/>
      <c r="D6" s="1246" t="s">
        <v>805</v>
      </c>
      <c r="E6" s="1247"/>
      <c r="F6" s="1248" t="s">
        <v>806</v>
      </c>
      <c r="G6" s="1248" t="s">
        <v>1067</v>
      </c>
      <c r="H6" s="1248"/>
      <c r="I6" s="1248"/>
      <c r="J6" s="1248"/>
      <c r="K6" s="1248"/>
      <c r="L6" s="1249" t="s">
        <v>1066</v>
      </c>
      <c r="M6" s="1249"/>
      <c r="O6" s="811"/>
    </row>
    <row r="7" spans="1:15" s="813" customFormat="1" ht="19.5" customHeight="1">
      <c r="A7" s="1244"/>
      <c r="B7" s="1245"/>
      <c r="C7" s="812"/>
      <c r="D7" s="1250" t="s">
        <v>829</v>
      </c>
      <c r="E7" s="1250" t="s">
        <v>830</v>
      </c>
      <c r="F7" s="1248"/>
      <c r="G7" s="1248" t="s">
        <v>831</v>
      </c>
      <c r="H7" s="1248" t="s">
        <v>832</v>
      </c>
      <c r="I7" s="1248" t="s">
        <v>554</v>
      </c>
      <c r="J7" s="1248"/>
      <c r="K7" s="1248"/>
      <c r="L7" s="1251" t="s">
        <v>829</v>
      </c>
      <c r="M7" s="1251" t="s">
        <v>830</v>
      </c>
      <c r="O7" s="814"/>
    </row>
    <row r="8" spans="1:15" s="813" customFormat="1" ht="26.25" customHeight="1">
      <c r="A8" s="1244"/>
      <c r="B8" s="1245"/>
      <c r="C8" s="812"/>
      <c r="D8" s="1250"/>
      <c r="E8" s="1250"/>
      <c r="F8" s="1248"/>
      <c r="G8" s="1248"/>
      <c r="H8" s="1248"/>
      <c r="I8" s="809" t="s">
        <v>833</v>
      </c>
      <c r="J8" s="809" t="s">
        <v>834</v>
      </c>
      <c r="K8" s="809" t="s">
        <v>835</v>
      </c>
      <c r="L8" s="1252"/>
      <c r="M8" s="1252"/>
      <c r="O8" s="814"/>
    </row>
    <row r="9" spans="1:15" s="821" customFormat="1" ht="19.5" customHeight="1">
      <c r="A9" s="815"/>
      <c r="B9" s="816" t="s">
        <v>836</v>
      </c>
      <c r="C9" s="817"/>
      <c r="D9" s="818">
        <f>SUM(D10,D63,D72,D77)</f>
        <v>6659324</v>
      </c>
      <c r="E9" s="818">
        <f>SUM(E10,E63,E72,E77)</f>
        <v>6681824</v>
      </c>
      <c r="F9" s="819">
        <f>SUM(F10,F63,F72,F77)</f>
        <v>9221281.770000001</v>
      </c>
      <c r="G9" s="819">
        <f>SUM(G10,G63,G72,G77)</f>
        <v>156860.71</v>
      </c>
      <c r="H9" s="819">
        <f>SUM(H10,H63,H72,H77)</f>
        <v>9064421.06</v>
      </c>
      <c r="I9" s="819">
        <f>SUM(I10,I63)</f>
        <v>1548149.1899999997</v>
      </c>
      <c r="J9" s="819">
        <f>SUM(J10,J63)</f>
        <v>691108.03</v>
      </c>
      <c r="K9" s="819">
        <f>SUM(K10,K63)</f>
        <v>41317.06</v>
      </c>
      <c r="L9" s="820">
        <f>F9/D9</f>
        <v>1.3847173932369115</v>
      </c>
      <c r="M9" s="820">
        <f>F9/E9</f>
        <v>1.3800545734218683</v>
      </c>
      <c r="O9" s="822"/>
    </row>
    <row r="10" spans="1:15" s="830" customFormat="1" ht="19.5" customHeight="1">
      <c r="A10" s="823" t="s">
        <v>837</v>
      </c>
      <c r="B10" s="824" t="s">
        <v>838</v>
      </c>
      <c r="C10" s="825"/>
      <c r="D10" s="826">
        <f>SUM(D11,D59:D62)</f>
        <v>727000</v>
      </c>
      <c r="E10" s="826">
        <f>SUM(E11,E59:E62)</f>
        <v>727000</v>
      </c>
      <c r="F10" s="827">
        <f>SUM(F11,F59:F62)</f>
        <v>2287224.87</v>
      </c>
      <c r="G10" s="827">
        <f>SUM(G11,G59:G62)</f>
        <v>46107.38</v>
      </c>
      <c r="H10" s="827">
        <f>SUM(H11,H59:H62)</f>
        <v>2241117.49</v>
      </c>
      <c r="I10" s="827">
        <f>SUM(I11,I56,I59:I62)</f>
        <v>1517624.0199999998</v>
      </c>
      <c r="J10" s="827">
        <f>SUM(J11,J56,J59:J62)</f>
        <v>684352.23</v>
      </c>
      <c r="K10" s="827">
        <f>SUM(K11,K56,K59:K62)</f>
        <v>39141.24</v>
      </c>
      <c r="L10" s="828">
        <f>F10/D10</f>
        <v>3.146113988995874</v>
      </c>
      <c r="M10" s="829">
        <f>F10/E10</f>
        <v>3.146113988995874</v>
      </c>
      <c r="O10" s="831"/>
    </row>
    <row r="11" spans="1:15" s="498" customFormat="1" ht="19.5" customHeight="1">
      <c r="A11" s="832" t="s">
        <v>952</v>
      </c>
      <c r="B11" s="833" t="s">
        <v>839</v>
      </c>
      <c r="C11" s="834"/>
      <c r="D11" s="835">
        <f>SUM(D12,D19,D22,D29:D33,D35,D42,D44:D45,D56)</f>
        <v>727000</v>
      </c>
      <c r="E11" s="835">
        <f aca="true" t="shared" si="0" ref="E11:K11">SUM(E12,E19,E22,E29:E33,E35,E42,E44:E45,E56)</f>
        <v>727000</v>
      </c>
      <c r="F11" s="836">
        <f t="shared" si="0"/>
        <v>823799.2800000001</v>
      </c>
      <c r="G11" s="836">
        <f t="shared" si="0"/>
        <v>46107.38</v>
      </c>
      <c r="H11" s="836">
        <f t="shared" si="0"/>
        <v>777691.9000000001</v>
      </c>
      <c r="I11" s="836">
        <f t="shared" si="0"/>
        <v>431393.12999999995</v>
      </c>
      <c r="J11" s="836">
        <f t="shared" si="0"/>
        <v>330437.86999999994</v>
      </c>
      <c r="K11" s="836">
        <f t="shared" si="0"/>
        <v>15860.899999999998</v>
      </c>
      <c r="L11" s="837">
        <f>SUM(F11/D11)</f>
        <v>1.13314894085282</v>
      </c>
      <c r="M11" s="837">
        <f>SUM(F11/E11)</f>
        <v>1.13314894085282</v>
      </c>
      <c r="N11" s="468">
        <f>SUM(N12,N19,N22,N30:N35,N42,N45)</f>
        <v>0</v>
      </c>
      <c r="O11" s="468">
        <f>SUM(O12,O19,O22,O30:O35,O42,O45)</f>
        <v>6208308681</v>
      </c>
    </row>
    <row r="12" spans="1:15" s="498" customFormat="1" ht="19.5" customHeight="1">
      <c r="A12" s="832" t="s">
        <v>840</v>
      </c>
      <c r="B12" s="833" t="s">
        <v>841</v>
      </c>
      <c r="C12" s="834"/>
      <c r="D12" s="838">
        <f>SUM(D13:D18)</f>
        <v>201500</v>
      </c>
      <c r="E12" s="838">
        <f aca="true" t="shared" si="1" ref="E12:K12">SUM(E13:E18)</f>
        <v>201500</v>
      </c>
      <c r="F12" s="839">
        <f t="shared" si="1"/>
        <v>184461.15</v>
      </c>
      <c r="G12" s="839">
        <f t="shared" si="1"/>
        <v>66.54</v>
      </c>
      <c r="H12" s="839">
        <f t="shared" si="1"/>
        <v>184394.61</v>
      </c>
      <c r="I12" s="839">
        <f t="shared" si="1"/>
        <v>175363.27</v>
      </c>
      <c r="J12" s="839">
        <f t="shared" si="1"/>
        <v>9031.34</v>
      </c>
      <c r="K12" s="838">
        <f t="shared" si="1"/>
        <v>0</v>
      </c>
      <c r="L12" s="840">
        <f>F12/D12</f>
        <v>0.9154399503722084</v>
      </c>
      <c r="M12" s="837">
        <f>F12/E12</f>
        <v>0.9154399503722084</v>
      </c>
      <c r="O12" s="468" t="s">
        <v>842</v>
      </c>
    </row>
    <row r="13" spans="1:15" s="478" customFormat="1" ht="19.5" customHeight="1">
      <c r="A13" s="841"/>
      <c r="B13" s="842" t="s">
        <v>843</v>
      </c>
      <c r="C13" s="843"/>
      <c r="D13" s="844">
        <f>50100+26960</f>
        <v>77060</v>
      </c>
      <c r="E13" s="844">
        <f>50100+26960</f>
        <v>77060</v>
      </c>
      <c r="F13" s="845">
        <f aca="true" t="shared" si="2" ref="F13:F18">SUM(G13:H13)</f>
        <v>64402.700000000004</v>
      </c>
      <c r="G13" s="845"/>
      <c r="H13" s="845">
        <f>SUM(I13:K13)</f>
        <v>64402.700000000004</v>
      </c>
      <c r="I13" s="845">
        <v>61332.23</v>
      </c>
      <c r="J13" s="845">
        <v>3070.47</v>
      </c>
      <c r="K13" s="845"/>
      <c r="L13" s="846">
        <f>F13/D13</f>
        <v>0.8357474695042825</v>
      </c>
      <c r="M13" s="847">
        <f>F13/E13</f>
        <v>0.8357474695042825</v>
      </c>
      <c r="N13" s="478" t="s">
        <v>844</v>
      </c>
      <c r="O13" s="848" t="e">
        <f>SUM(#REF!,#REF!,#REF!,I24,#REF!,I68)</f>
        <v>#REF!</v>
      </c>
    </row>
    <row r="14" spans="1:15" s="478" customFormat="1" ht="19.5" customHeight="1">
      <c r="A14" s="849"/>
      <c r="B14" s="842" t="s">
        <v>845</v>
      </c>
      <c r="C14" s="843"/>
      <c r="D14" s="844">
        <v>30</v>
      </c>
      <c r="E14" s="844">
        <v>30</v>
      </c>
      <c r="F14" s="845">
        <f t="shared" si="2"/>
        <v>15.52</v>
      </c>
      <c r="G14" s="845"/>
      <c r="H14" s="845">
        <f>SUM(I14:K14)</f>
        <v>15.52</v>
      </c>
      <c r="I14" s="845">
        <v>15.52</v>
      </c>
      <c r="J14" s="845"/>
      <c r="K14" s="845"/>
      <c r="L14" s="850"/>
      <c r="M14" s="837"/>
      <c r="O14" s="471"/>
    </row>
    <row r="15" spans="1:15" s="478" customFormat="1" ht="19.5" customHeight="1">
      <c r="A15" s="841"/>
      <c r="B15" s="842" t="s">
        <v>846</v>
      </c>
      <c r="C15" s="843"/>
      <c r="D15" s="844">
        <f>700+6500</f>
        <v>7200</v>
      </c>
      <c r="E15" s="844">
        <f>700+6500</f>
        <v>7200</v>
      </c>
      <c r="F15" s="845">
        <f t="shared" si="2"/>
        <v>8151.16</v>
      </c>
      <c r="G15" s="845"/>
      <c r="H15" s="845">
        <f aca="true" t="shared" si="3" ref="H15:H20">SUM(I15:K15)</f>
        <v>8151.16</v>
      </c>
      <c r="I15" s="845">
        <v>7802.92</v>
      </c>
      <c r="J15" s="845">
        <v>348.24</v>
      </c>
      <c r="K15" s="845"/>
      <c r="L15" s="846">
        <f>F15/D15</f>
        <v>1.1321055555555555</v>
      </c>
      <c r="M15" s="847">
        <f>F15/E15</f>
        <v>1.1321055555555555</v>
      </c>
      <c r="O15" s="471"/>
    </row>
    <row r="16" spans="1:15" s="478" customFormat="1" ht="19.5" customHeight="1">
      <c r="A16" s="841"/>
      <c r="B16" s="842" t="s">
        <v>847</v>
      </c>
      <c r="C16" s="843"/>
      <c r="D16" s="844">
        <f>116600+110</f>
        <v>116710</v>
      </c>
      <c r="E16" s="844">
        <f>116600+110</f>
        <v>116710</v>
      </c>
      <c r="F16" s="845">
        <f t="shared" si="2"/>
        <v>110840.61</v>
      </c>
      <c r="G16" s="845"/>
      <c r="H16" s="845">
        <f t="shared" si="3"/>
        <v>110840.61</v>
      </c>
      <c r="I16" s="845">
        <v>105230.58</v>
      </c>
      <c r="J16" s="845">
        <v>5610.03</v>
      </c>
      <c r="K16" s="845"/>
      <c r="L16" s="846">
        <f>F16/D16</f>
        <v>0.9497096221403479</v>
      </c>
      <c r="M16" s="847">
        <f>F16/E16</f>
        <v>0.9497096221403479</v>
      </c>
      <c r="O16" s="471"/>
    </row>
    <row r="17" spans="1:15" s="478" customFormat="1" ht="19.5" customHeight="1">
      <c r="A17" s="841"/>
      <c r="B17" s="842" t="s">
        <v>848</v>
      </c>
      <c r="C17" s="843"/>
      <c r="D17" s="844">
        <f>100+100</f>
        <v>200</v>
      </c>
      <c r="E17" s="844">
        <f>100+100</f>
        <v>200</v>
      </c>
      <c r="F17" s="845">
        <f t="shared" si="2"/>
        <v>201.5</v>
      </c>
      <c r="G17" s="845"/>
      <c r="H17" s="845">
        <f t="shared" si="3"/>
        <v>201.5</v>
      </c>
      <c r="I17" s="845">
        <v>199.5</v>
      </c>
      <c r="J17" s="845">
        <v>2</v>
      </c>
      <c r="K17" s="845"/>
      <c r="L17" s="846">
        <f>F17/D17</f>
        <v>1.0075</v>
      </c>
      <c r="M17" s="847">
        <f>F17/E17</f>
        <v>1.0075</v>
      </c>
      <c r="O17" s="471" t="e">
        <f>#REF!-O18-#REF!-I64-#REF!-#REF!</f>
        <v>#REF!</v>
      </c>
    </row>
    <row r="18" spans="1:15" s="478" customFormat="1" ht="19.5" customHeight="1">
      <c r="A18" s="841"/>
      <c r="B18" s="842" t="s">
        <v>849</v>
      </c>
      <c r="C18" s="843"/>
      <c r="D18" s="844">
        <v>300</v>
      </c>
      <c r="E18" s="844">
        <v>300</v>
      </c>
      <c r="F18" s="845">
        <f t="shared" si="2"/>
        <v>849.66</v>
      </c>
      <c r="G18" s="845">
        <v>66.54</v>
      </c>
      <c r="H18" s="845">
        <f t="shared" si="3"/>
        <v>783.12</v>
      </c>
      <c r="I18" s="845">
        <v>782.52</v>
      </c>
      <c r="J18" s="845">
        <v>0.6</v>
      </c>
      <c r="K18" s="845"/>
      <c r="L18" s="850"/>
      <c r="M18" s="837"/>
      <c r="O18" s="471" t="e">
        <f>#REF!+O13+#REF!+I30+#REF!-I66-I67-I68</f>
        <v>#REF!</v>
      </c>
    </row>
    <row r="19" spans="1:16" s="498" customFormat="1" ht="19.5" customHeight="1">
      <c r="A19" s="832" t="s">
        <v>850</v>
      </c>
      <c r="B19" s="833" t="s">
        <v>851</v>
      </c>
      <c r="C19" s="834"/>
      <c r="D19" s="838">
        <f>SUM(D20:D21)</f>
        <v>300</v>
      </c>
      <c r="E19" s="838">
        <f>SUM(E20:E21)</f>
        <v>300</v>
      </c>
      <c r="F19" s="839">
        <f>SUM(F20:F21)</f>
        <v>130.24</v>
      </c>
      <c r="G19" s="839"/>
      <c r="H19" s="839">
        <f>SUM(H20:H21)</f>
        <v>130.24</v>
      </c>
      <c r="I19" s="839">
        <f>SUM(I20:I21)</f>
        <v>130.24</v>
      </c>
      <c r="J19" s="839"/>
      <c r="K19" s="839"/>
      <c r="L19" s="840">
        <f>SUM(F19/D19)</f>
        <v>0.43413333333333337</v>
      </c>
      <c r="M19" s="840">
        <f>SUM(F19/E19)</f>
        <v>0.43413333333333337</v>
      </c>
      <c r="N19" s="468">
        <f>SUM(N20:N21)</f>
        <v>0</v>
      </c>
      <c r="O19" s="468">
        <f>SUM(O20:O21)</f>
        <v>0</v>
      </c>
      <c r="P19" s="468">
        <f>SUM(P20:P21)</f>
        <v>0</v>
      </c>
    </row>
    <row r="20" spans="1:15" s="478" customFormat="1" ht="19.5" customHeight="1">
      <c r="A20" s="841"/>
      <c r="B20" s="842" t="s">
        <v>852</v>
      </c>
      <c r="C20" s="843"/>
      <c r="D20" s="844">
        <v>297</v>
      </c>
      <c r="E20" s="844">
        <v>297</v>
      </c>
      <c r="F20" s="845">
        <f>SUM(G20:H20)</f>
        <v>130.24</v>
      </c>
      <c r="G20" s="845"/>
      <c r="H20" s="845">
        <f t="shared" si="3"/>
        <v>130.24</v>
      </c>
      <c r="I20" s="845">
        <v>130.24</v>
      </c>
      <c r="J20" s="845"/>
      <c r="K20" s="845"/>
      <c r="L20" s="846"/>
      <c r="M20" s="847"/>
      <c r="O20" s="471"/>
    </row>
    <row r="21" spans="1:15" s="478" customFormat="1" ht="19.5" customHeight="1">
      <c r="A21" s="841"/>
      <c r="B21" s="842" t="s">
        <v>848</v>
      </c>
      <c r="C21" s="843"/>
      <c r="D21" s="844">
        <v>3</v>
      </c>
      <c r="E21" s="844">
        <v>3</v>
      </c>
      <c r="F21" s="845"/>
      <c r="G21" s="845"/>
      <c r="H21" s="845"/>
      <c r="I21" s="845"/>
      <c r="J21" s="845"/>
      <c r="K21" s="845"/>
      <c r="L21" s="846"/>
      <c r="M21" s="847"/>
      <c r="O21" s="471"/>
    </row>
    <row r="22" spans="1:15" s="498" customFormat="1" ht="19.5" customHeight="1">
      <c r="A22" s="832" t="s">
        <v>853</v>
      </c>
      <c r="B22" s="833" t="s">
        <v>854</v>
      </c>
      <c r="C22" s="834"/>
      <c r="D22" s="838">
        <f aca="true" t="shared" si="4" ref="D22:K22">SUM(D23:D28)</f>
        <v>325500</v>
      </c>
      <c r="E22" s="838">
        <f t="shared" si="4"/>
        <v>325500</v>
      </c>
      <c r="F22" s="839">
        <f t="shared" si="4"/>
        <v>292772.37</v>
      </c>
      <c r="G22" s="839">
        <f t="shared" si="4"/>
        <v>0</v>
      </c>
      <c r="H22" s="839">
        <f t="shared" si="4"/>
        <v>292772.37</v>
      </c>
      <c r="I22" s="839">
        <f t="shared" si="4"/>
        <v>78973.87999999999</v>
      </c>
      <c r="J22" s="839">
        <f t="shared" si="4"/>
        <v>213340.13999999998</v>
      </c>
      <c r="K22" s="839">
        <f t="shared" si="4"/>
        <v>458.34999999999997</v>
      </c>
      <c r="L22" s="850">
        <f>F22/D22</f>
        <v>0.8994542857142857</v>
      </c>
      <c r="M22" s="837">
        <f>F22/E22</f>
        <v>0.8994542857142857</v>
      </c>
      <c r="O22" s="468"/>
    </row>
    <row r="23" spans="1:15" s="478" customFormat="1" ht="19.5" customHeight="1">
      <c r="A23" s="841"/>
      <c r="B23" s="842" t="s">
        <v>852</v>
      </c>
      <c r="C23" s="843" t="s">
        <v>855</v>
      </c>
      <c r="D23" s="844">
        <v>290400</v>
      </c>
      <c r="E23" s="844">
        <v>290400</v>
      </c>
      <c r="F23" s="845">
        <f aca="true" t="shared" si="5" ref="F23:F29">SUM(G23:H23)</f>
        <v>251222.09</v>
      </c>
      <c r="G23" s="845"/>
      <c r="H23" s="845">
        <f aca="true" t="shared" si="6" ref="H23:H53">SUM(I23:K23)</f>
        <v>251222.09</v>
      </c>
      <c r="I23" s="845">
        <v>72846.53</v>
      </c>
      <c r="J23" s="845">
        <v>178375.56</v>
      </c>
      <c r="K23" s="845"/>
      <c r="L23" s="846"/>
      <c r="M23" s="847"/>
      <c r="O23" s="471"/>
    </row>
    <row r="24" spans="1:15" s="478" customFormat="1" ht="19.5" customHeight="1">
      <c r="A24" s="841"/>
      <c r="B24" s="842" t="s">
        <v>845</v>
      </c>
      <c r="C24" s="843" t="s">
        <v>856</v>
      </c>
      <c r="D24" s="844">
        <v>100</v>
      </c>
      <c r="E24" s="844">
        <v>100</v>
      </c>
      <c r="F24" s="845">
        <f t="shared" si="5"/>
        <v>147.38</v>
      </c>
      <c r="G24" s="845"/>
      <c r="H24" s="845">
        <f t="shared" si="6"/>
        <v>147.38</v>
      </c>
      <c r="I24" s="845">
        <v>17.87</v>
      </c>
      <c r="J24" s="845">
        <v>129.51</v>
      </c>
      <c r="K24" s="845"/>
      <c r="L24" s="846"/>
      <c r="M24" s="847"/>
      <c r="N24" s="478" t="s">
        <v>857</v>
      </c>
      <c r="O24" s="471">
        <v>11541243707</v>
      </c>
    </row>
    <row r="25" spans="1:15" s="478" customFormat="1" ht="19.5" customHeight="1">
      <c r="A25" s="841"/>
      <c r="B25" s="842" t="s">
        <v>858</v>
      </c>
      <c r="C25" s="843">
        <v>1050</v>
      </c>
      <c r="D25" s="844">
        <v>9500</v>
      </c>
      <c r="E25" s="844">
        <v>9500</v>
      </c>
      <c r="F25" s="845">
        <f t="shared" si="5"/>
        <v>12066.33</v>
      </c>
      <c r="G25" s="845"/>
      <c r="H25" s="845">
        <f t="shared" si="6"/>
        <v>12066.33</v>
      </c>
      <c r="I25" s="845">
        <v>3619.15</v>
      </c>
      <c r="J25" s="845">
        <v>8447.18</v>
      </c>
      <c r="K25" s="845"/>
      <c r="L25" s="846"/>
      <c r="M25" s="847"/>
      <c r="O25" s="471">
        <v>20703964220</v>
      </c>
    </row>
    <row r="26" spans="1:15" s="478" customFormat="1" ht="19.5" customHeight="1">
      <c r="A26" s="841"/>
      <c r="B26" s="842" t="s">
        <v>847</v>
      </c>
      <c r="C26" s="843">
        <v>1550</v>
      </c>
      <c r="D26" s="844">
        <v>20000</v>
      </c>
      <c r="E26" s="844">
        <v>20000</v>
      </c>
      <c r="F26" s="845">
        <f t="shared" si="5"/>
        <v>18374.140000000003</v>
      </c>
      <c r="G26" s="845"/>
      <c r="H26" s="845">
        <f t="shared" si="6"/>
        <v>18374.140000000003</v>
      </c>
      <c r="I26" s="845"/>
      <c r="J26" s="845">
        <v>18373.74</v>
      </c>
      <c r="K26" s="845">
        <v>0.4</v>
      </c>
      <c r="L26" s="846"/>
      <c r="M26" s="847"/>
      <c r="O26" s="471">
        <v>124816355</v>
      </c>
    </row>
    <row r="27" spans="1:15" s="478" customFormat="1" ht="19.5" customHeight="1">
      <c r="A27" s="841"/>
      <c r="B27" s="842" t="s">
        <v>848</v>
      </c>
      <c r="C27" s="843">
        <v>1800</v>
      </c>
      <c r="D27" s="844">
        <v>2500</v>
      </c>
      <c r="E27" s="844">
        <v>2500</v>
      </c>
      <c r="F27" s="845">
        <f t="shared" si="5"/>
        <v>2687.6099999999997</v>
      </c>
      <c r="G27" s="845"/>
      <c r="H27" s="845">
        <f t="shared" si="6"/>
        <v>2687.6099999999997</v>
      </c>
      <c r="I27" s="845">
        <v>146</v>
      </c>
      <c r="J27" s="845">
        <v>2083.66</v>
      </c>
      <c r="K27" s="845">
        <v>457.95</v>
      </c>
      <c r="L27" s="846"/>
      <c r="M27" s="847"/>
      <c r="O27" s="471">
        <v>4300000000</v>
      </c>
    </row>
    <row r="28" spans="1:15" s="478" customFormat="1" ht="19.5" customHeight="1">
      <c r="A28" s="841"/>
      <c r="B28" s="842" t="s">
        <v>859</v>
      </c>
      <c r="C28" s="843" t="s">
        <v>860</v>
      </c>
      <c r="D28" s="844">
        <v>3000</v>
      </c>
      <c r="E28" s="844">
        <v>3000</v>
      </c>
      <c r="F28" s="845">
        <f t="shared" si="5"/>
        <v>8274.82</v>
      </c>
      <c r="G28" s="845"/>
      <c r="H28" s="845">
        <f t="shared" si="6"/>
        <v>8274.82</v>
      </c>
      <c r="I28" s="845">
        <v>2344.33</v>
      </c>
      <c r="J28" s="845">
        <v>5930.49</v>
      </c>
      <c r="K28" s="845"/>
      <c r="L28" s="846"/>
      <c r="M28" s="847"/>
      <c r="O28" s="471">
        <v>60080275373</v>
      </c>
    </row>
    <row r="29" spans="1:15" s="478" customFormat="1" ht="19.5" customHeight="1">
      <c r="A29" s="832" t="s">
        <v>861</v>
      </c>
      <c r="B29" s="833" t="s">
        <v>862</v>
      </c>
      <c r="C29" s="851"/>
      <c r="D29" s="838">
        <v>1500</v>
      </c>
      <c r="E29" s="838">
        <v>1500</v>
      </c>
      <c r="F29" s="839">
        <f t="shared" si="5"/>
        <v>1635.0600000000002</v>
      </c>
      <c r="G29" s="839"/>
      <c r="H29" s="839">
        <f t="shared" si="6"/>
        <v>1635.0600000000002</v>
      </c>
      <c r="I29" s="839"/>
      <c r="J29" s="839">
        <v>462.93</v>
      </c>
      <c r="K29" s="839">
        <v>1172.13</v>
      </c>
      <c r="L29" s="850">
        <f>F29/D29</f>
        <v>1.0900400000000001</v>
      </c>
      <c r="M29" s="837">
        <f>F29/E29</f>
        <v>1.0900400000000001</v>
      </c>
      <c r="O29" s="471"/>
    </row>
    <row r="30" spans="1:15" s="498" customFormat="1" ht="19.5" customHeight="1">
      <c r="A30" s="832" t="s">
        <v>863</v>
      </c>
      <c r="B30" s="833" t="s">
        <v>864</v>
      </c>
      <c r="C30" s="852">
        <v>1000</v>
      </c>
      <c r="D30" s="838">
        <v>17000</v>
      </c>
      <c r="E30" s="838">
        <v>17000</v>
      </c>
      <c r="F30" s="839">
        <f>SUM(G30:H30)</f>
        <v>37348.619999999995</v>
      </c>
      <c r="G30" s="839"/>
      <c r="H30" s="839">
        <f t="shared" si="6"/>
        <v>37348.619999999995</v>
      </c>
      <c r="I30" s="839">
        <v>10069.32</v>
      </c>
      <c r="J30" s="839">
        <v>25061.64</v>
      </c>
      <c r="K30" s="839">
        <v>2217.66</v>
      </c>
      <c r="L30" s="850">
        <f aca="true" t="shared" si="7" ref="L30:L37">F30/D30</f>
        <v>2.1969776470588234</v>
      </c>
      <c r="M30" s="837">
        <f aca="true" t="shared" si="8" ref="M30:M37">F30/E30</f>
        <v>2.1969776470588234</v>
      </c>
      <c r="O30" s="468">
        <f>SUM(O29:O29)</f>
        <v>0</v>
      </c>
    </row>
    <row r="31" spans="1:15" s="498" customFormat="1" ht="19.5" customHeight="1">
      <c r="A31" s="832" t="s">
        <v>865</v>
      </c>
      <c r="B31" s="833" t="s">
        <v>866</v>
      </c>
      <c r="C31" s="834" t="s">
        <v>867</v>
      </c>
      <c r="D31" s="838">
        <v>48500</v>
      </c>
      <c r="E31" s="838">
        <v>48500</v>
      </c>
      <c r="F31" s="839">
        <f>SUM(G31:H31)</f>
        <v>55496.29</v>
      </c>
      <c r="G31" s="839"/>
      <c r="H31" s="839">
        <f t="shared" si="6"/>
        <v>55496.29</v>
      </c>
      <c r="I31" s="839"/>
      <c r="J31" s="839">
        <v>54522.92</v>
      </c>
      <c r="K31" s="839">
        <v>973.37</v>
      </c>
      <c r="L31" s="850">
        <f t="shared" si="7"/>
        <v>1.1442534020618558</v>
      </c>
      <c r="M31" s="837">
        <f t="shared" si="8"/>
        <v>1.1442534020618558</v>
      </c>
      <c r="O31" s="468">
        <v>6208308681</v>
      </c>
    </row>
    <row r="32" spans="1:15" s="498" customFormat="1" ht="19.5" customHeight="1">
      <c r="A32" s="832" t="s">
        <v>868</v>
      </c>
      <c r="B32" s="833" t="s">
        <v>869</v>
      </c>
      <c r="C32" s="852"/>
      <c r="D32" s="838">
        <v>35000</v>
      </c>
      <c r="E32" s="838">
        <v>35000</v>
      </c>
      <c r="F32" s="839">
        <f>SUM(G32:H32)</f>
        <v>72289.81</v>
      </c>
      <c r="G32" s="839"/>
      <c r="H32" s="839">
        <f t="shared" si="6"/>
        <v>72289.81</v>
      </c>
      <c r="I32" s="839">
        <v>72247.18</v>
      </c>
      <c r="J32" s="839">
        <v>42.63</v>
      </c>
      <c r="K32" s="839"/>
      <c r="L32" s="850">
        <f>F32/D32</f>
        <v>2.0654231428571426</v>
      </c>
      <c r="M32" s="837">
        <f>F32/E32</f>
        <v>2.0654231428571426</v>
      </c>
      <c r="O32" s="468"/>
    </row>
    <row r="33" spans="1:15" s="498" customFormat="1" ht="19.5" customHeight="1">
      <c r="A33" s="832" t="s">
        <v>870</v>
      </c>
      <c r="B33" s="833" t="s">
        <v>871</v>
      </c>
      <c r="C33" s="834"/>
      <c r="D33" s="838">
        <v>14500</v>
      </c>
      <c r="E33" s="838">
        <v>14500</v>
      </c>
      <c r="F33" s="839">
        <f>SUM(G33:H33)</f>
        <v>24219.69</v>
      </c>
      <c r="G33" s="839">
        <v>4543.55</v>
      </c>
      <c r="H33" s="839">
        <f>SUM(I33:K33)</f>
        <v>19676.14</v>
      </c>
      <c r="I33" s="839">
        <v>5325.15</v>
      </c>
      <c r="J33" s="839">
        <v>9802.74</v>
      </c>
      <c r="K33" s="839">
        <v>4548.25</v>
      </c>
      <c r="L33" s="850">
        <f t="shared" si="7"/>
        <v>1.670323448275862</v>
      </c>
      <c r="M33" s="837">
        <f t="shared" si="8"/>
        <v>1.670323448275862</v>
      </c>
      <c r="O33" s="468"/>
    </row>
    <row r="34" spans="1:15" s="498" customFormat="1" ht="19.5" customHeight="1">
      <c r="A34" s="832"/>
      <c r="B34" s="842" t="s">
        <v>872</v>
      </c>
      <c r="C34" s="834"/>
      <c r="D34" s="844">
        <v>5500</v>
      </c>
      <c r="E34" s="838"/>
      <c r="F34" s="839"/>
      <c r="G34" s="839"/>
      <c r="H34" s="839"/>
      <c r="I34" s="839"/>
      <c r="J34" s="839"/>
      <c r="K34" s="839"/>
      <c r="L34" s="850"/>
      <c r="M34" s="837"/>
      <c r="O34" s="468"/>
    </row>
    <row r="35" spans="1:15" s="498" customFormat="1" ht="19.5" customHeight="1">
      <c r="A35" s="832" t="s">
        <v>873</v>
      </c>
      <c r="B35" s="833" t="s">
        <v>874</v>
      </c>
      <c r="C35" s="834"/>
      <c r="D35" s="838">
        <f>SUM(D36:D38,D41)</f>
        <v>41500</v>
      </c>
      <c r="E35" s="838">
        <f aca="true" t="shared" si="9" ref="E35:K35">SUM(E36:E38,E41)</f>
        <v>41500</v>
      </c>
      <c r="F35" s="839">
        <f t="shared" si="9"/>
        <v>79774.3</v>
      </c>
      <c r="G35" s="839">
        <f t="shared" si="9"/>
        <v>0</v>
      </c>
      <c r="H35" s="839">
        <f t="shared" si="9"/>
        <v>79774.3</v>
      </c>
      <c r="I35" s="838">
        <f t="shared" si="9"/>
        <v>66292.37</v>
      </c>
      <c r="J35" s="838">
        <f t="shared" si="9"/>
        <v>11005.47</v>
      </c>
      <c r="K35" s="838">
        <f t="shared" si="9"/>
        <v>2476.4599999999996</v>
      </c>
      <c r="L35" s="850">
        <f t="shared" si="7"/>
        <v>1.9222722891566266</v>
      </c>
      <c r="M35" s="837">
        <f t="shared" si="8"/>
        <v>1.9222722891566266</v>
      </c>
      <c r="O35" s="468"/>
    </row>
    <row r="36" spans="1:15" s="478" customFormat="1" ht="19.5" customHeight="1">
      <c r="A36" s="841"/>
      <c r="B36" s="842" t="s">
        <v>875</v>
      </c>
      <c r="C36" s="851">
        <v>1500</v>
      </c>
      <c r="D36" s="844"/>
      <c r="E36" s="844"/>
      <c r="F36" s="845">
        <f aca="true" t="shared" si="10" ref="F36:F62">SUM(G36:H36)</f>
        <v>19.92</v>
      </c>
      <c r="G36" s="845"/>
      <c r="H36" s="845">
        <f t="shared" si="6"/>
        <v>19.92</v>
      </c>
      <c r="I36" s="845"/>
      <c r="J36" s="845">
        <v>16.25</v>
      </c>
      <c r="K36" s="845">
        <v>3.67</v>
      </c>
      <c r="L36" s="846"/>
      <c r="M36" s="847"/>
      <c r="O36" s="471"/>
    </row>
    <row r="37" spans="1:15" s="478" customFormat="1" ht="19.5" customHeight="1">
      <c r="A37" s="841"/>
      <c r="B37" s="842" t="s">
        <v>876</v>
      </c>
      <c r="C37" s="851">
        <v>3600</v>
      </c>
      <c r="D37" s="844">
        <v>16000</v>
      </c>
      <c r="E37" s="844">
        <v>16000</v>
      </c>
      <c r="F37" s="845">
        <f t="shared" si="10"/>
        <v>21464.920000000002</v>
      </c>
      <c r="G37" s="845"/>
      <c r="H37" s="845">
        <f t="shared" si="6"/>
        <v>21464.920000000002</v>
      </c>
      <c r="I37" s="845">
        <v>20560.2</v>
      </c>
      <c r="J37" s="845">
        <v>477.73</v>
      </c>
      <c r="K37" s="845">
        <v>426.99</v>
      </c>
      <c r="L37" s="846">
        <f t="shared" si="7"/>
        <v>1.3415575000000002</v>
      </c>
      <c r="M37" s="847">
        <f t="shared" si="8"/>
        <v>1.3415575000000002</v>
      </c>
      <c r="O37" s="471"/>
    </row>
    <row r="38" spans="1:15" s="478" customFormat="1" ht="19.5" customHeight="1">
      <c r="A38" s="841"/>
      <c r="B38" s="842" t="s">
        <v>877</v>
      </c>
      <c r="C38" s="851">
        <v>1400</v>
      </c>
      <c r="D38" s="844">
        <f aca="true" t="shared" si="11" ref="D38:K38">SUM(D39:D40)</f>
        <v>25000</v>
      </c>
      <c r="E38" s="844">
        <f t="shared" si="11"/>
        <v>25000</v>
      </c>
      <c r="F38" s="844">
        <f t="shared" si="11"/>
        <v>57554.38</v>
      </c>
      <c r="G38" s="844">
        <f t="shared" si="11"/>
        <v>0</v>
      </c>
      <c r="H38" s="845">
        <f t="shared" si="11"/>
        <v>57554.38</v>
      </c>
      <c r="I38" s="845">
        <f t="shared" si="11"/>
        <v>45732.17</v>
      </c>
      <c r="J38" s="844">
        <f t="shared" si="11"/>
        <v>10184.84</v>
      </c>
      <c r="K38" s="844">
        <f t="shared" si="11"/>
        <v>1637.37</v>
      </c>
      <c r="L38" s="846">
        <f>F38/D38</f>
        <v>2.3021751999999998</v>
      </c>
      <c r="M38" s="847">
        <f>F38/E38</f>
        <v>2.3021751999999998</v>
      </c>
      <c r="O38" s="471"/>
    </row>
    <row r="39" spans="1:15" s="478" customFormat="1" ht="19.5" customHeight="1">
      <c r="A39" s="841"/>
      <c r="B39" s="842" t="s">
        <v>878</v>
      </c>
      <c r="C39" s="851"/>
      <c r="D39" s="844">
        <v>25000</v>
      </c>
      <c r="E39" s="844">
        <v>21500</v>
      </c>
      <c r="F39" s="845">
        <f>SUM(G39:H39)</f>
        <v>45732.17</v>
      </c>
      <c r="G39" s="845"/>
      <c r="H39" s="845">
        <f>SUM(I39:K39)</f>
        <v>45732.17</v>
      </c>
      <c r="I39" s="845">
        <v>45732.17</v>
      </c>
      <c r="J39" s="845"/>
      <c r="K39" s="845"/>
      <c r="L39" s="846"/>
      <c r="M39" s="847"/>
      <c r="O39" s="471"/>
    </row>
    <row r="40" spans="1:15" s="478" customFormat="1" ht="19.5" customHeight="1">
      <c r="A40" s="841"/>
      <c r="B40" s="842" t="s">
        <v>879</v>
      </c>
      <c r="C40" s="851"/>
      <c r="D40" s="844"/>
      <c r="E40" s="844">
        <v>3500</v>
      </c>
      <c r="F40" s="845">
        <f>SUM(G40:H40)</f>
        <v>11822.21</v>
      </c>
      <c r="G40" s="845"/>
      <c r="H40" s="845">
        <f>SUM(I40:K40)</f>
        <v>11822.21</v>
      </c>
      <c r="I40" s="845"/>
      <c r="J40" s="845">
        <v>10184.84</v>
      </c>
      <c r="K40" s="845">
        <v>1637.37</v>
      </c>
      <c r="L40" s="846"/>
      <c r="M40" s="847"/>
      <c r="O40" s="471"/>
    </row>
    <row r="41" spans="1:15" s="478" customFormat="1" ht="19.5" customHeight="1">
      <c r="A41" s="841"/>
      <c r="B41" s="842" t="s">
        <v>880</v>
      </c>
      <c r="C41" s="843" t="s">
        <v>881</v>
      </c>
      <c r="D41" s="844">
        <v>500</v>
      </c>
      <c r="E41" s="844">
        <v>500</v>
      </c>
      <c r="F41" s="845">
        <f t="shared" si="10"/>
        <v>735.0799999999999</v>
      </c>
      <c r="G41" s="845"/>
      <c r="H41" s="845">
        <f t="shared" si="6"/>
        <v>735.0799999999999</v>
      </c>
      <c r="I41" s="845"/>
      <c r="J41" s="845">
        <v>326.65</v>
      </c>
      <c r="K41" s="845">
        <v>408.43</v>
      </c>
      <c r="L41" s="846">
        <f>F41/D41</f>
        <v>1.47016</v>
      </c>
      <c r="M41" s="847">
        <f>F41/E41</f>
        <v>1.47016</v>
      </c>
      <c r="O41" s="471"/>
    </row>
    <row r="42" spans="1:15" s="498" customFormat="1" ht="19.5" customHeight="1">
      <c r="A42" s="832" t="s">
        <v>882</v>
      </c>
      <c r="B42" s="833" t="s">
        <v>883</v>
      </c>
      <c r="C42" s="834"/>
      <c r="D42" s="838">
        <v>3700</v>
      </c>
      <c r="E42" s="838">
        <v>3700</v>
      </c>
      <c r="F42" s="839">
        <f>SUM(G42:H42)</f>
        <v>2889.31</v>
      </c>
      <c r="G42" s="839"/>
      <c r="H42" s="839">
        <f>SUM(H43)</f>
        <v>2889.31</v>
      </c>
      <c r="I42" s="839"/>
      <c r="J42" s="839"/>
      <c r="K42" s="839">
        <f>SUM(K43)</f>
        <v>2889.31</v>
      </c>
      <c r="L42" s="850">
        <f>F42/D42</f>
        <v>0.7808945945945945</v>
      </c>
      <c r="M42" s="837">
        <f>F42/E42</f>
        <v>0.7808945945945945</v>
      </c>
      <c r="O42" s="468"/>
    </row>
    <row r="43" spans="1:15" s="478" customFormat="1" ht="19.5" customHeight="1">
      <c r="A43" s="841"/>
      <c r="B43" s="842" t="s">
        <v>884</v>
      </c>
      <c r="C43" s="851">
        <v>3900</v>
      </c>
      <c r="D43" s="844">
        <v>3700</v>
      </c>
      <c r="E43" s="844">
        <v>3700</v>
      </c>
      <c r="F43" s="845">
        <f t="shared" si="10"/>
        <v>2889.31</v>
      </c>
      <c r="G43" s="845"/>
      <c r="H43" s="845">
        <f t="shared" si="6"/>
        <v>2889.31</v>
      </c>
      <c r="I43" s="845"/>
      <c r="J43" s="845"/>
      <c r="K43" s="845">
        <v>2889.31</v>
      </c>
      <c r="L43" s="850"/>
      <c r="M43" s="837"/>
      <c r="O43" s="471"/>
    </row>
    <row r="44" spans="1:15" s="478" customFormat="1" ht="19.5" customHeight="1">
      <c r="A44" s="832" t="s">
        <v>885</v>
      </c>
      <c r="B44" s="833" t="s">
        <v>886</v>
      </c>
      <c r="C44" s="852"/>
      <c r="D44" s="838"/>
      <c r="E44" s="838"/>
      <c r="F44" s="839">
        <f t="shared" si="10"/>
        <v>6691.87</v>
      </c>
      <c r="G44" s="839"/>
      <c r="H44" s="839">
        <f>SUM(I44:K44)</f>
        <v>6691.87</v>
      </c>
      <c r="I44" s="845">
        <v>6691.87</v>
      </c>
      <c r="J44" s="839"/>
      <c r="K44" s="839"/>
      <c r="L44" s="850"/>
      <c r="M44" s="837"/>
      <c r="O44" s="471"/>
    </row>
    <row r="45" spans="1:15" s="498" customFormat="1" ht="19.5" customHeight="1">
      <c r="A45" s="832" t="s">
        <v>887</v>
      </c>
      <c r="B45" s="833" t="s">
        <v>888</v>
      </c>
      <c r="C45" s="834"/>
      <c r="D45" s="838">
        <v>16000</v>
      </c>
      <c r="E45" s="838">
        <v>16000</v>
      </c>
      <c r="F45" s="839">
        <f aca="true" t="shared" si="12" ref="F45:K45">SUM(F46,F48:F55)</f>
        <v>34032.43</v>
      </c>
      <c r="G45" s="839">
        <f t="shared" si="12"/>
        <v>9439.15</v>
      </c>
      <c r="H45" s="839">
        <f t="shared" si="12"/>
        <v>24593.280000000002</v>
      </c>
      <c r="I45" s="839">
        <f t="shared" si="12"/>
        <v>16299.850000000002</v>
      </c>
      <c r="J45" s="839">
        <f t="shared" si="12"/>
        <v>7168.0599999999995</v>
      </c>
      <c r="K45" s="839">
        <f t="shared" si="12"/>
        <v>1125.37</v>
      </c>
      <c r="L45" s="850">
        <f>F45/D45</f>
        <v>2.127026875</v>
      </c>
      <c r="M45" s="837">
        <f>F45/E45</f>
        <v>2.127026875</v>
      </c>
      <c r="O45" s="468"/>
    </row>
    <row r="46" spans="1:15" s="478" customFormat="1" ht="19.5" customHeight="1">
      <c r="A46" s="841"/>
      <c r="B46" s="842" t="s">
        <v>889</v>
      </c>
      <c r="C46" s="843" t="s">
        <v>890</v>
      </c>
      <c r="D46" s="844"/>
      <c r="E46" s="844"/>
      <c r="F46" s="845">
        <f t="shared" si="10"/>
        <v>13873.51</v>
      </c>
      <c r="G46" s="845">
        <v>6065.41</v>
      </c>
      <c r="H46" s="845">
        <f t="shared" si="6"/>
        <v>7808.1</v>
      </c>
      <c r="I46" s="845">
        <v>5825.06</v>
      </c>
      <c r="J46" s="845">
        <v>1541.66</v>
      </c>
      <c r="K46" s="845">
        <v>441.38</v>
      </c>
      <c r="L46" s="828"/>
      <c r="M46" s="829"/>
      <c r="O46" s="471"/>
    </row>
    <row r="47" spans="1:15" s="478" customFormat="1" ht="19.5" customHeight="1">
      <c r="A47" s="841"/>
      <c r="B47" s="842" t="s">
        <v>891</v>
      </c>
      <c r="C47" s="843"/>
      <c r="D47" s="844"/>
      <c r="E47" s="844"/>
      <c r="F47" s="845">
        <f>SUM(G47:H47)</f>
        <v>8396.27</v>
      </c>
      <c r="G47" s="845">
        <v>5877.39</v>
      </c>
      <c r="H47" s="845">
        <v>2518.88</v>
      </c>
      <c r="I47" s="845"/>
      <c r="J47" s="845"/>
      <c r="K47" s="845"/>
      <c r="L47" s="828"/>
      <c r="M47" s="829"/>
      <c r="O47" s="471"/>
    </row>
    <row r="48" spans="1:15" s="478" customFormat="1" ht="19.5" customHeight="1">
      <c r="A48" s="841"/>
      <c r="B48" s="842" t="s">
        <v>892</v>
      </c>
      <c r="C48" s="843" t="s">
        <v>893</v>
      </c>
      <c r="D48" s="844"/>
      <c r="E48" s="844"/>
      <c r="F48" s="845">
        <f t="shared" si="10"/>
        <v>2549.88</v>
      </c>
      <c r="G48" s="845">
        <v>779.51</v>
      </c>
      <c r="H48" s="845">
        <f t="shared" si="6"/>
        <v>1770.37</v>
      </c>
      <c r="I48" s="845">
        <v>1638</v>
      </c>
      <c r="J48" s="845">
        <v>132.37</v>
      </c>
      <c r="K48" s="845"/>
      <c r="L48" s="828"/>
      <c r="M48" s="829"/>
      <c r="O48" s="471"/>
    </row>
    <row r="49" spans="1:15" s="478" customFormat="1" ht="19.5" customHeight="1">
      <c r="A49" s="841"/>
      <c r="B49" s="842" t="s">
        <v>894</v>
      </c>
      <c r="C49" s="843" t="s">
        <v>895</v>
      </c>
      <c r="D49" s="844"/>
      <c r="E49" s="844"/>
      <c r="F49" s="845">
        <f t="shared" si="10"/>
        <v>14.74</v>
      </c>
      <c r="G49" s="845"/>
      <c r="H49" s="845">
        <f t="shared" si="6"/>
        <v>14.74</v>
      </c>
      <c r="I49" s="845"/>
      <c r="J49" s="845"/>
      <c r="K49" s="845">
        <v>14.74</v>
      </c>
      <c r="L49" s="828"/>
      <c r="M49" s="829"/>
      <c r="O49" s="471"/>
    </row>
    <row r="50" spans="1:15" s="478" customFormat="1" ht="19.5" customHeight="1">
      <c r="A50" s="841"/>
      <c r="B50" s="842" t="s">
        <v>896</v>
      </c>
      <c r="C50" s="843"/>
      <c r="D50" s="844"/>
      <c r="E50" s="844"/>
      <c r="F50" s="845">
        <f t="shared" si="10"/>
        <v>12</v>
      </c>
      <c r="G50" s="845"/>
      <c r="H50" s="845">
        <f t="shared" si="6"/>
        <v>12</v>
      </c>
      <c r="I50" s="845"/>
      <c r="J50" s="845">
        <v>12</v>
      </c>
      <c r="K50" s="845"/>
      <c r="L50" s="828"/>
      <c r="M50" s="829"/>
      <c r="O50" s="471"/>
    </row>
    <row r="51" spans="1:15" s="478" customFormat="1" ht="19.5" customHeight="1">
      <c r="A51" s="841"/>
      <c r="B51" s="842" t="s">
        <v>897</v>
      </c>
      <c r="C51" s="843" t="s">
        <v>898</v>
      </c>
      <c r="D51" s="844"/>
      <c r="E51" s="844"/>
      <c r="F51" s="845">
        <f t="shared" si="10"/>
        <v>427.45000000000005</v>
      </c>
      <c r="G51" s="845">
        <v>200.2</v>
      </c>
      <c r="H51" s="845">
        <f t="shared" si="6"/>
        <v>227.25000000000003</v>
      </c>
      <c r="I51" s="845">
        <v>113.67</v>
      </c>
      <c r="J51" s="845">
        <v>112.68</v>
      </c>
      <c r="K51" s="845">
        <v>0.9</v>
      </c>
      <c r="L51" s="828"/>
      <c r="M51" s="829"/>
      <c r="O51" s="471"/>
    </row>
    <row r="52" spans="1:15" s="478" customFormat="1" ht="19.5" customHeight="1">
      <c r="A52" s="841"/>
      <c r="B52" s="842" t="s">
        <v>899</v>
      </c>
      <c r="C52" s="843" t="s">
        <v>900</v>
      </c>
      <c r="D52" s="844"/>
      <c r="E52" s="844"/>
      <c r="F52" s="845">
        <f t="shared" si="10"/>
        <v>8.75</v>
      </c>
      <c r="G52" s="845"/>
      <c r="H52" s="845">
        <f t="shared" si="6"/>
        <v>8.75</v>
      </c>
      <c r="I52" s="845"/>
      <c r="J52" s="845">
        <v>7.48</v>
      </c>
      <c r="K52" s="845">
        <v>1.27</v>
      </c>
      <c r="L52" s="828"/>
      <c r="M52" s="829"/>
      <c r="O52" s="471"/>
    </row>
    <row r="53" spans="1:15" s="478" customFormat="1" ht="19.5" customHeight="1">
      <c r="A53" s="841"/>
      <c r="B53" s="842" t="s">
        <v>901</v>
      </c>
      <c r="C53" s="843" t="s">
        <v>902</v>
      </c>
      <c r="D53" s="844"/>
      <c r="E53" s="844"/>
      <c r="F53" s="845">
        <f t="shared" si="10"/>
        <v>14513.75</v>
      </c>
      <c r="G53" s="845">
        <v>2393.22</v>
      </c>
      <c r="H53" s="845">
        <f t="shared" si="6"/>
        <v>12120.53</v>
      </c>
      <c r="I53" s="845">
        <v>8683.12</v>
      </c>
      <c r="J53" s="845">
        <v>3293.15</v>
      </c>
      <c r="K53" s="845">
        <v>144.26</v>
      </c>
      <c r="L53" s="828"/>
      <c r="M53" s="829"/>
      <c r="O53" s="471"/>
    </row>
    <row r="54" spans="1:15" s="478" customFormat="1" ht="19.5" customHeight="1">
      <c r="A54" s="841"/>
      <c r="B54" s="853" t="s">
        <v>903</v>
      </c>
      <c r="C54" s="854">
        <v>3650</v>
      </c>
      <c r="D54" s="844"/>
      <c r="E54" s="844"/>
      <c r="F54" s="845">
        <f t="shared" si="10"/>
        <v>0.8</v>
      </c>
      <c r="G54" s="845">
        <v>0.8</v>
      </c>
      <c r="H54" s="845"/>
      <c r="I54" s="845"/>
      <c r="J54" s="845"/>
      <c r="K54" s="845"/>
      <c r="L54" s="828"/>
      <c r="M54" s="829"/>
      <c r="O54" s="471"/>
    </row>
    <row r="55" spans="1:15" s="478" customFormat="1" ht="19.5" customHeight="1">
      <c r="A55" s="841"/>
      <c r="B55" s="842" t="s">
        <v>904</v>
      </c>
      <c r="C55" s="851"/>
      <c r="D55" s="844"/>
      <c r="E55" s="844"/>
      <c r="F55" s="845">
        <f>SUM(G55:H55)</f>
        <v>2631.55</v>
      </c>
      <c r="G55" s="845">
        <v>0.01</v>
      </c>
      <c r="H55" s="845">
        <f>SUM(I55:K55)</f>
        <v>2631.54</v>
      </c>
      <c r="I55" s="845">
        <v>40</v>
      </c>
      <c r="J55" s="845">
        <v>2068.72</v>
      </c>
      <c r="K55" s="845">
        <v>522.82</v>
      </c>
      <c r="L55" s="828"/>
      <c r="M55" s="829"/>
      <c r="O55" s="471"/>
    </row>
    <row r="56" spans="1:15" s="498" customFormat="1" ht="19.5" customHeight="1">
      <c r="A56" s="832" t="s">
        <v>905</v>
      </c>
      <c r="B56" s="833" t="s">
        <v>906</v>
      </c>
      <c r="C56" s="834"/>
      <c r="D56" s="838">
        <f>SUM(D57:D58)</f>
        <v>22000</v>
      </c>
      <c r="E56" s="838">
        <f>SUM(E57:E58)</f>
        <v>22000</v>
      </c>
      <c r="F56" s="839">
        <f>SUM(F57:F58)</f>
        <v>32058.14</v>
      </c>
      <c r="G56" s="839">
        <f>SUM(G57:G58)</f>
        <v>32058.14</v>
      </c>
      <c r="H56" s="839"/>
      <c r="I56" s="839"/>
      <c r="J56" s="839"/>
      <c r="K56" s="839"/>
      <c r="L56" s="840">
        <f>F56/D56</f>
        <v>1.4571881818181818</v>
      </c>
      <c r="M56" s="840">
        <f>F56/E56</f>
        <v>1.4571881818181818</v>
      </c>
      <c r="O56" s="468"/>
    </row>
    <row r="57" spans="1:15" s="478" customFormat="1" ht="27.75" customHeight="1">
      <c r="A57" s="855"/>
      <c r="B57" s="842" t="s">
        <v>907</v>
      </c>
      <c r="C57" s="851">
        <v>1850</v>
      </c>
      <c r="D57" s="844">
        <v>2500</v>
      </c>
      <c r="E57" s="844">
        <v>2500</v>
      </c>
      <c r="F57" s="845">
        <f>SUM(G57:H57)</f>
        <v>1916.05</v>
      </c>
      <c r="G57" s="845">
        <v>1916.05</v>
      </c>
      <c r="H57" s="845"/>
      <c r="I57" s="845"/>
      <c r="J57" s="845"/>
      <c r="K57" s="845"/>
      <c r="L57" s="850"/>
      <c r="M57" s="837"/>
      <c r="O57" s="471"/>
    </row>
    <row r="58" spans="1:15" s="478" customFormat="1" ht="19.5" customHeight="1">
      <c r="A58" s="855"/>
      <c r="B58" s="842" t="s">
        <v>908</v>
      </c>
      <c r="C58" s="843" t="s">
        <v>909</v>
      </c>
      <c r="D58" s="844">
        <v>19500</v>
      </c>
      <c r="E58" s="844">
        <v>19500</v>
      </c>
      <c r="F58" s="845">
        <f>SUM(G58:H58)</f>
        <v>30142.09</v>
      </c>
      <c r="G58" s="845">
        <v>30142.09</v>
      </c>
      <c r="H58" s="845"/>
      <c r="I58" s="845"/>
      <c r="J58" s="845"/>
      <c r="K58" s="845"/>
      <c r="L58" s="850"/>
      <c r="M58" s="837"/>
      <c r="O58" s="471"/>
    </row>
    <row r="59" spans="1:15" s="498" customFormat="1" ht="19.5" customHeight="1">
      <c r="A59" s="832" t="s">
        <v>1012</v>
      </c>
      <c r="B59" s="833" t="s">
        <v>910</v>
      </c>
      <c r="C59" s="856" t="s">
        <v>911</v>
      </c>
      <c r="D59" s="838"/>
      <c r="E59" s="838"/>
      <c r="F59" s="839">
        <f t="shared" si="10"/>
        <v>11261.63</v>
      </c>
      <c r="G59" s="839"/>
      <c r="H59" s="839">
        <f aca="true" t="shared" si="13" ref="H59:H77">SUM(I59:K59)</f>
        <v>11261.63</v>
      </c>
      <c r="I59" s="839">
        <v>10219.48</v>
      </c>
      <c r="J59" s="839">
        <v>1042.15</v>
      </c>
      <c r="K59" s="839"/>
      <c r="L59" s="850"/>
      <c r="M59" s="837"/>
      <c r="O59" s="468"/>
    </row>
    <row r="60" spans="1:15" s="498" customFormat="1" ht="19.5" customHeight="1">
      <c r="A60" s="832" t="s">
        <v>1637</v>
      </c>
      <c r="B60" s="833" t="s">
        <v>912</v>
      </c>
      <c r="C60" s="856" t="s">
        <v>913</v>
      </c>
      <c r="D60" s="838"/>
      <c r="E60" s="838"/>
      <c r="F60" s="839">
        <f t="shared" si="10"/>
        <v>35850.35</v>
      </c>
      <c r="G60" s="839"/>
      <c r="H60" s="839">
        <f t="shared" si="13"/>
        <v>35850.35</v>
      </c>
      <c r="I60" s="839">
        <v>8.97</v>
      </c>
      <c r="J60" s="839">
        <v>33378.88</v>
      </c>
      <c r="K60" s="839">
        <v>2462.5</v>
      </c>
      <c r="L60" s="850"/>
      <c r="M60" s="837"/>
      <c r="O60" s="468"/>
    </row>
    <row r="61" spans="1:15" s="498" customFormat="1" ht="19.5" customHeight="1">
      <c r="A61" s="832" t="s">
        <v>468</v>
      </c>
      <c r="B61" s="833" t="s">
        <v>1087</v>
      </c>
      <c r="C61" s="857" t="s">
        <v>914</v>
      </c>
      <c r="D61" s="838"/>
      <c r="E61" s="838"/>
      <c r="F61" s="839">
        <f t="shared" si="10"/>
        <v>1308855.61</v>
      </c>
      <c r="G61" s="839"/>
      <c r="H61" s="839">
        <f t="shared" si="13"/>
        <v>1308855.61</v>
      </c>
      <c r="I61" s="839">
        <v>968544.44</v>
      </c>
      <c r="J61" s="839">
        <v>319493.33</v>
      </c>
      <c r="K61" s="839">
        <v>20817.84</v>
      </c>
      <c r="L61" s="850"/>
      <c r="M61" s="837"/>
      <c r="O61" s="468"/>
    </row>
    <row r="62" spans="1:15" s="498" customFormat="1" ht="33" customHeight="1">
      <c r="A62" s="832" t="s">
        <v>774</v>
      </c>
      <c r="B62" s="833" t="s">
        <v>915</v>
      </c>
      <c r="C62" s="857" t="s">
        <v>916</v>
      </c>
      <c r="D62" s="838"/>
      <c r="E62" s="838"/>
      <c r="F62" s="839">
        <f t="shared" si="10"/>
        <v>107458</v>
      </c>
      <c r="G62" s="839"/>
      <c r="H62" s="839">
        <f t="shared" si="13"/>
        <v>107458</v>
      </c>
      <c r="I62" s="839">
        <v>107458</v>
      </c>
      <c r="J62" s="839"/>
      <c r="K62" s="839"/>
      <c r="L62" s="850"/>
      <c r="M62" s="837"/>
      <c r="O62" s="468"/>
    </row>
    <row r="63" spans="1:15" s="860" customFormat="1" ht="19.5" customHeight="1">
      <c r="A63" s="823" t="s">
        <v>1100</v>
      </c>
      <c r="B63" s="824" t="s">
        <v>917</v>
      </c>
      <c r="C63" s="825"/>
      <c r="D63" s="858">
        <f>SUM(D64:D64,D65,D70:D71)</f>
        <v>0</v>
      </c>
      <c r="E63" s="858">
        <f>SUM(E64:E65)</f>
        <v>22500</v>
      </c>
      <c r="F63" s="859">
        <f aca="true" t="shared" si="14" ref="F63:K63">SUM(F64:F65,F70:F71)</f>
        <v>39456.79</v>
      </c>
      <c r="G63" s="859">
        <f t="shared" si="14"/>
        <v>0</v>
      </c>
      <c r="H63" s="859">
        <f t="shared" si="14"/>
        <v>39456.79</v>
      </c>
      <c r="I63" s="859">
        <f t="shared" si="14"/>
        <v>30525.17</v>
      </c>
      <c r="J63" s="859">
        <f t="shared" si="14"/>
        <v>6755.8</v>
      </c>
      <c r="K63" s="859">
        <f t="shared" si="14"/>
        <v>2175.8199999999997</v>
      </c>
      <c r="L63" s="828"/>
      <c r="M63" s="829">
        <f>F63/E63</f>
        <v>1.7536351111111113</v>
      </c>
      <c r="O63" s="861"/>
    </row>
    <row r="64" spans="1:15" s="498" customFormat="1" ht="19.5" customHeight="1">
      <c r="A64" s="832" t="s">
        <v>840</v>
      </c>
      <c r="B64" s="833" t="s">
        <v>918</v>
      </c>
      <c r="C64" s="834" t="s">
        <v>919</v>
      </c>
      <c r="D64" s="838"/>
      <c r="E64" s="838">
        <v>13000</v>
      </c>
      <c r="F64" s="839">
        <f>SUM(G64:H64)</f>
        <v>13880.560000000001</v>
      </c>
      <c r="G64" s="839"/>
      <c r="H64" s="839">
        <f t="shared" si="13"/>
        <v>13880.560000000001</v>
      </c>
      <c r="I64" s="839">
        <v>9938.19</v>
      </c>
      <c r="J64" s="839">
        <v>3942.37</v>
      </c>
      <c r="K64" s="839"/>
      <c r="L64" s="828"/>
      <c r="M64" s="837">
        <f>F64/E64</f>
        <v>1.0677353846153848</v>
      </c>
      <c r="O64" s="468"/>
    </row>
    <row r="65" spans="1:15" s="498" customFormat="1" ht="19.5" customHeight="1">
      <c r="A65" s="832" t="s">
        <v>853</v>
      </c>
      <c r="B65" s="862" t="s">
        <v>920</v>
      </c>
      <c r="C65" s="834"/>
      <c r="D65" s="838">
        <f>SUM(D66:D68)</f>
        <v>0</v>
      </c>
      <c r="E65" s="838">
        <f>SUM(E66:E69)</f>
        <v>9500</v>
      </c>
      <c r="F65" s="839">
        <f aca="true" t="shared" si="15" ref="F65:K65">SUM(F66:F68)</f>
        <v>16281.95</v>
      </c>
      <c r="G65" s="839">
        <f t="shared" si="15"/>
        <v>0</v>
      </c>
      <c r="H65" s="839">
        <f t="shared" si="15"/>
        <v>16281.95</v>
      </c>
      <c r="I65" s="839">
        <f t="shared" si="15"/>
        <v>16281.95</v>
      </c>
      <c r="J65" s="839">
        <f t="shared" si="15"/>
        <v>0</v>
      </c>
      <c r="K65" s="839">
        <f t="shared" si="15"/>
        <v>0</v>
      </c>
      <c r="L65" s="850"/>
      <c r="M65" s="837">
        <f>F65/E65</f>
        <v>1.7138894736842105</v>
      </c>
      <c r="O65" s="468"/>
    </row>
    <row r="66" spans="1:15" s="864" customFormat="1" ht="19.5" customHeight="1">
      <c r="A66" s="849"/>
      <c r="B66" s="863" t="s">
        <v>921</v>
      </c>
      <c r="C66" s="843"/>
      <c r="D66" s="844"/>
      <c r="E66" s="844">
        <v>3900</v>
      </c>
      <c r="F66" s="845">
        <f>SUM(G66:H66)</f>
        <v>6949.31</v>
      </c>
      <c r="G66" s="845"/>
      <c r="H66" s="845">
        <f t="shared" si="13"/>
        <v>6949.31</v>
      </c>
      <c r="I66" s="845">
        <v>6949.31</v>
      </c>
      <c r="J66" s="845"/>
      <c r="K66" s="845"/>
      <c r="L66" s="850"/>
      <c r="M66" s="837"/>
      <c r="O66" s="865"/>
    </row>
    <row r="67" spans="1:15" s="864" customFormat="1" ht="19.5" customHeight="1">
      <c r="A67" s="849"/>
      <c r="B67" s="863" t="s">
        <v>922</v>
      </c>
      <c r="C67" s="843"/>
      <c r="D67" s="844"/>
      <c r="E67" s="844">
        <v>200</v>
      </c>
      <c r="F67" s="845">
        <f>SUM(G67:H67)</f>
        <v>222.5</v>
      </c>
      <c r="G67" s="845"/>
      <c r="H67" s="845">
        <f t="shared" si="13"/>
        <v>222.5</v>
      </c>
      <c r="I67" s="845">
        <v>222.5</v>
      </c>
      <c r="J67" s="845"/>
      <c r="K67" s="845"/>
      <c r="L67" s="850"/>
      <c r="M67" s="837"/>
      <c r="O67" s="865"/>
    </row>
    <row r="68" spans="1:15" s="864" customFormat="1" ht="19.5" customHeight="1">
      <c r="A68" s="849"/>
      <c r="B68" s="863" t="s">
        <v>923</v>
      </c>
      <c r="C68" s="843"/>
      <c r="D68" s="844"/>
      <c r="E68" s="844">
        <v>5397</v>
      </c>
      <c r="F68" s="845">
        <f>SUM(G68:H68)</f>
        <v>9110.14</v>
      </c>
      <c r="G68" s="845"/>
      <c r="H68" s="845">
        <f t="shared" si="13"/>
        <v>9110.14</v>
      </c>
      <c r="I68" s="845">
        <v>9110.14</v>
      </c>
      <c r="J68" s="845"/>
      <c r="K68" s="845"/>
      <c r="L68" s="850"/>
      <c r="M68" s="837"/>
      <c r="O68" s="865"/>
    </row>
    <row r="69" spans="1:15" s="864" customFormat="1" ht="19.5" customHeight="1">
      <c r="A69" s="849"/>
      <c r="B69" s="863" t="s">
        <v>924</v>
      </c>
      <c r="C69" s="843"/>
      <c r="D69" s="844"/>
      <c r="E69" s="844">
        <v>3</v>
      </c>
      <c r="F69" s="845"/>
      <c r="G69" s="845"/>
      <c r="H69" s="845"/>
      <c r="I69" s="845"/>
      <c r="J69" s="845"/>
      <c r="K69" s="845"/>
      <c r="L69" s="850"/>
      <c r="M69" s="837"/>
      <c r="O69" s="865"/>
    </row>
    <row r="70" spans="1:15" s="498" customFormat="1" ht="19.5" customHeight="1">
      <c r="A70" s="832" t="s">
        <v>861</v>
      </c>
      <c r="B70" s="833" t="s">
        <v>925</v>
      </c>
      <c r="C70" s="856" t="s">
        <v>926</v>
      </c>
      <c r="D70" s="838"/>
      <c r="E70" s="838"/>
      <c r="F70" s="839">
        <f>SUM(G70:H70)</f>
        <v>3324.5600000000004</v>
      </c>
      <c r="G70" s="839"/>
      <c r="H70" s="839">
        <f t="shared" si="13"/>
        <v>3324.5600000000004</v>
      </c>
      <c r="I70" s="839">
        <v>2500</v>
      </c>
      <c r="J70" s="839">
        <v>485.09</v>
      </c>
      <c r="K70" s="839">
        <v>339.47</v>
      </c>
      <c r="L70" s="850"/>
      <c r="M70" s="837"/>
      <c r="O70" s="468"/>
    </row>
    <row r="71" spans="1:15" s="498" customFormat="1" ht="19.5" customHeight="1">
      <c r="A71" s="832" t="s">
        <v>863</v>
      </c>
      <c r="B71" s="833" t="s">
        <v>927</v>
      </c>
      <c r="C71" s="856" t="s">
        <v>928</v>
      </c>
      <c r="D71" s="838"/>
      <c r="E71" s="838"/>
      <c r="F71" s="839">
        <f>SUM(G71:H71)</f>
        <v>5969.719999999999</v>
      </c>
      <c r="G71" s="839"/>
      <c r="H71" s="839">
        <f t="shared" si="13"/>
        <v>5969.719999999999</v>
      </c>
      <c r="I71" s="839">
        <v>1805.03</v>
      </c>
      <c r="J71" s="839">
        <v>2328.34</v>
      </c>
      <c r="K71" s="839">
        <v>1836.35</v>
      </c>
      <c r="L71" s="850"/>
      <c r="M71" s="837"/>
      <c r="O71" s="468"/>
    </row>
    <row r="72" spans="1:15" s="860" customFormat="1" ht="19.5" customHeight="1">
      <c r="A72" s="823" t="s">
        <v>5</v>
      </c>
      <c r="B72" s="824" t="s">
        <v>929</v>
      </c>
      <c r="C72" s="825"/>
      <c r="D72" s="858">
        <f>SUM(D73:D74)</f>
        <v>5932324</v>
      </c>
      <c r="E72" s="858">
        <f>SUM(E73:E74)</f>
        <v>5932324</v>
      </c>
      <c r="F72" s="859">
        <f aca="true" t="shared" si="16" ref="F72:K72">SUM(F73:F74)</f>
        <v>6780568.03</v>
      </c>
      <c r="G72" s="859"/>
      <c r="H72" s="859">
        <f t="shared" si="16"/>
        <v>6780568.03</v>
      </c>
      <c r="I72" s="859">
        <f t="shared" si="16"/>
        <v>6780568.03</v>
      </c>
      <c r="J72" s="859">
        <f t="shared" si="16"/>
        <v>4078966.23</v>
      </c>
      <c r="K72" s="859">
        <f t="shared" si="16"/>
        <v>649595.3999999999</v>
      </c>
      <c r="L72" s="828">
        <f>F72/D72</f>
        <v>1.1429868007883588</v>
      </c>
      <c r="M72" s="829">
        <f>F72/E72</f>
        <v>1.1429868007883588</v>
      </c>
      <c r="O72" s="861"/>
    </row>
    <row r="73" spans="1:15" s="478" customFormat="1" ht="19.5" customHeight="1">
      <c r="A73" s="855" t="s">
        <v>840</v>
      </c>
      <c r="B73" s="842" t="s">
        <v>1068</v>
      </c>
      <c r="C73" s="843" t="s">
        <v>930</v>
      </c>
      <c r="D73" s="844">
        <f>2612446+1298087</f>
        <v>3910533</v>
      </c>
      <c r="E73" s="844">
        <f>2612446+1298087</f>
        <v>3910533</v>
      </c>
      <c r="F73" s="845">
        <f>SUM(G73:H73)</f>
        <v>3910533</v>
      </c>
      <c r="G73" s="845"/>
      <c r="H73" s="845">
        <v>3910533</v>
      </c>
      <c r="I73" s="845">
        <v>3910533</v>
      </c>
      <c r="J73" s="845">
        <v>2992553</v>
      </c>
      <c r="K73" s="845">
        <v>498702.66</v>
      </c>
      <c r="L73" s="846">
        <f>F73/D73</f>
        <v>1</v>
      </c>
      <c r="M73" s="847">
        <f>F73/E73</f>
        <v>1</v>
      </c>
      <c r="O73" s="471"/>
    </row>
    <row r="74" spans="1:15" s="478" customFormat="1" ht="19.5" customHeight="1">
      <c r="A74" s="855" t="s">
        <v>850</v>
      </c>
      <c r="B74" s="842" t="s">
        <v>1069</v>
      </c>
      <c r="C74" s="843" t="s">
        <v>931</v>
      </c>
      <c r="D74" s="844">
        <v>2021791</v>
      </c>
      <c r="E74" s="844">
        <v>2021791</v>
      </c>
      <c r="F74" s="845">
        <f aca="true" t="shared" si="17" ref="F74:K74">SUM(F75:F76)</f>
        <v>2870035.0300000003</v>
      </c>
      <c r="G74" s="845">
        <f t="shared" si="17"/>
        <v>0</v>
      </c>
      <c r="H74" s="845">
        <f t="shared" si="17"/>
        <v>2870035.0300000003</v>
      </c>
      <c r="I74" s="845">
        <f t="shared" si="17"/>
        <v>2870035.0300000003</v>
      </c>
      <c r="J74" s="845">
        <f t="shared" si="17"/>
        <v>1086413.23</v>
      </c>
      <c r="K74" s="845">
        <f t="shared" si="17"/>
        <v>150892.74</v>
      </c>
      <c r="L74" s="846">
        <f>F74/D74</f>
        <v>1.419550799266591</v>
      </c>
      <c r="M74" s="847">
        <f>F74/E74</f>
        <v>1.419550799266591</v>
      </c>
      <c r="O74" s="471"/>
    </row>
    <row r="75" spans="1:15" s="864" customFormat="1" ht="19.5" customHeight="1">
      <c r="A75" s="855"/>
      <c r="B75" s="842" t="s">
        <v>932</v>
      </c>
      <c r="C75" s="851"/>
      <c r="D75" s="844"/>
      <c r="E75" s="844"/>
      <c r="F75" s="845">
        <f>SUM(G75:H75)</f>
        <v>2485444.77</v>
      </c>
      <c r="G75" s="845"/>
      <c r="H75" s="845">
        <v>2485444.77</v>
      </c>
      <c r="I75" s="845">
        <v>2485444.77</v>
      </c>
      <c r="J75" s="845">
        <v>943330.9</v>
      </c>
      <c r="K75" s="845">
        <v>144892.74</v>
      </c>
      <c r="L75" s="850"/>
      <c r="M75" s="837"/>
      <c r="O75" s="865"/>
    </row>
    <row r="76" spans="1:15" s="864" customFormat="1" ht="19.5" customHeight="1">
      <c r="A76" s="855"/>
      <c r="B76" s="842" t="s">
        <v>933</v>
      </c>
      <c r="C76" s="851"/>
      <c r="D76" s="844"/>
      <c r="E76" s="844"/>
      <c r="F76" s="845">
        <f>SUM(G76:H76)</f>
        <v>384590.26</v>
      </c>
      <c r="G76" s="845"/>
      <c r="H76" s="845">
        <v>384590.26</v>
      </c>
      <c r="I76" s="845">
        <v>384590.26</v>
      </c>
      <c r="J76" s="845">
        <v>143082.33</v>
      </c>
      <c r="K76" s="845">
        <v>6000</v>
      </c>
      <c r="L76" s="828"/>
      <c r="M76" s="829"/>
      <c r="O76" s="865"/>
    </row>
    <row r="77" spans="1:15" s="860" customFormat="1" ht="19.5" customHeight="1">
      <c r="A77" s="866" t="s">
        <v>934</v>
      </c>
      <c r="B77" s="867" t="s">
        <v>1090</v>
      </c>
      <c r="C77" s="868">
        <v>4700</v>
      </c>
      <c r="D77" s="869"/>
      <c r="E77" s="869"/>
      <c r="F77" s="870">
        <f>SUM(G77:H77)</f>
        <v>114032.08</v>
      </c>
      <c r="G77" s="870">
        <v>110753.33</v>
      </c>
      <c r="H77" s="870">
        <f t="shared" si="13"/>
        <v>3278.75</v>
      </c>
      <c r="I77" s="870">
        <v>3133</v>
      </c>
      <c r="J77" s="870">
        <v>145.75</v>
      </c>
      <c r="K77" s="870"/>
      <c r="L77" s="871"/>
      <c r="M77" s="872"/>
      <c r="O77" s="861"/>
    </row>
    <row r="78" spans="1:15" s="879" customFormat="1" ht="15.75">
      <c r="A78" s="873"/>
      <c r="B78" s="874"/>
      <c r="C78" s="875"/>
      <c r="D78" s="876"/>
      <c r="E78" s="876"/>
      <c r="F78" s="877"/>
      <c r="G78" s="877"/>
      <c r="H78" s="877"/>
      <c r="I78" s="877"/>
      <c r="J78" s="877"/>
      <c r="K78" s="877"/>
      <c r="L78" s="878"/>
      <c r="M78" s="878"/>
      <c r="O78" s="876"/>
    </row>
    <row r="79" spans="1:15" s="879" customFormat="1" ht="15.75">
      <c r="A79" s="1253"/>
      <c r="B79" s="1253"/>
      <c r="C79" s="875"/>
      <c r="D79" s="1253"/>
      <c r="E79" s="1253"/>
      <c r="F79" s="1253"/>
      <c r="G79" s="1253"/>
      <c r="H79" s="1253"/>
      <c r="I79" s="1253"/>
      <c r="J79" s="1253"/>
      <c r="K79" s="1253"/>
      <c r="L79" s="1253"/>
      <c r="M79" s="1253"/>
      <c r="O79" s="876"/>
    </row>
    <row r="80" spans="1:15" s="881" customFormat="1" ht="15.75">
      <c r="A80" s="1254"/>
      <c r="B80" s="1254"/>
      <c r="C80" s="880"/>
      <c r="D80" s="1254"/>
      <c r="E80" s="1254"/>
      <c r="F80" s="1254"/>
      <c r="G80" s="1254"/>
      <c r="H80" s="1254"/>
      <c r="I80" s="1254"/>
      <c r="J80" s="1254"/>
      <c r="K80" s="1254"/>
      <c r="L80" s="1254"/>
      <c r="M80" s="1254"/>
      <c r="O80" s="882"/>
    </row>
    <row r="81" spans="1:15" s="886" customFormat="1" ht="18.75">
      <c r="A81" s="77"/>
      <c r="B81" s="883"/>
      <c r="C81" s="884"/>
      <c r="D81" s="885"/>
      <c r="E81" s="885"/>
      <c r="F81" s="77"/>
      <c r="G81" s="77"/>
      <c r="H81" s="77"/>
      <c r="I81" s="1043"/>
      <c r="J81" s="1043"/>
      <c r="K81" s="1043"/>
      <c r="L81" s="1043"/>
      <c r="M81" s="1043"/>
      <c r="O81" s="885"/>
    </row>
    <row r="82" spans="1:15" s="886" customFormat="1" ht="18.75">
      <c r="A82" s="77"/>
      <c r="B82" s="887"/>
      <c r="C82" s="884"/>
      <c r="D82" s="885"/>
      <c r="E82" s="885"/>
      <c r="F82" s="888"/>
      <c r="G82" s="888"/>
      <c r="H82" s="888"/>
      <c r="I82" s="888"/>
      <c r="J82" s="1255"/>
      <c r="K82" s="1255"/>
      <c r="L82" s="1255"/>
      <c r="M82" s="805"/>
      <c r="O82" s="885"/>
    </row>
    <row r="83" ht="15.75">
      <c r="B83" s="889"/>
    </row>
    <row r="84" spans="2:11" ht="15.75">
      <c r="B84" s="889"/>
      <c r="J84" s="890"/>
      <c r="K84" s="890"/>
    </row>
    <row r="85" spans="2:11" ht="15.75">
      <c r="B85" s="889"/>
      <c r="J85" s="890"/>
      <c r="K85" s="890"/>
    </row>
    <row r="86" spans="1:11" ht="15.75" customHeight="1" hidden="1">
      <c r="A86" s="1256" t="s">
        <v>935</v>
      </c>
      <c r="B86" s="1256"/>
      <c r="J86" s="890"/>
      <c r="K86" s="890"/>
    </row>
    <row r="87" spans="1:13" ht="42.75" customHeight="1" hidden="1">
      <c r="A87" s="1257" t="s">
        <v>936</v>
      </c>
      <c r="B87" s="1257"/>
      <c r="C87" s="1257"/>
      <c r="D87" s="1257"/>
      <c r="E87" s="1257"/>
      <c r="F87" s="1257"/>
      <c r="G87" s="1257"/>
      <c r="H87" s="1257"/>
      <c r="I87" s="1257"/>
      <c r="J87" s="1257"/>
      <c r="K87" s="1257"/>
      <c r="L87" s="1257"/>
      <c r="M87" s="1257"/>
    </row>
    <row r="88" spans="1:13" ht="39.75" customHeight="1" hidden="1">
      <c r="A88" s="1257" t="s">
        <v>937</v>
      </c>
      <c r="B88" s="1257"/>
      <c r="C88" s="1257"/>
      <c r="D88" s="1257"/>
      <c r="E88" s="1257"/>
      <c r="F88" s="1257"/>
      <c r="G88" s="1257"/>
      <c r="H88" s="1257"/>
      <c r="I88" s="1257"/>
      <c r="J88" s="1257"/>
      <c r="K88" s="1257"/>
      <c r="L88" s="1257"/>
      <c r="M88" s="1257"/>
    </row>
    <row r="89" spans="1:13" ht="15.75">
      <c r="A89" s="891"/>
      <c r="B89" s="891"/>
      <c r="C89" s="892"/>
      <c r="D89" s="893"/>
      <c r="E89" s="893"/>
      <c r="F89" s="894"/>
      <c r="G89" s="894"/>
      <c r="H89" s="894"/>
      <c r="I89" s="894"/>
      <c r="J89" s="894"/>
      <c r="K89" s="894"/>
      <c r="L89" s="895"/>
      <c r="M89" s="895"/>
    </row>
    <row r="90" ht="15.75">
      <c r="B90" s="881"/>
    </row>
  </sheetData>
  <sheetProtection/>
  <mergeCells count="29">
    <mergeCell ref="A86:B86"/>
    <mergeCell ref="A87:M87"/>
    <mergeCell ref="A88:M88"/>
    <mergeCell ref="L7:L8"/>
    <mergeCell ref="A80:B80"/>
    <mergeCell ref="D80:H80"/>
    <mergeCell ref="I80:M80"/>
    <mergeCell ref="I81:M81"/>
    <mergeCell ref="J82:L82"/>
    <mergeCell ref="L6:M6"/>
    <mergeCell ref="D7:D8"/>
    <mergeCell ref="E7:E8"/>
    <mergeCell ref="M7:M8"/>
    <mergeCell ref="A79:B79"/>
    <mergeCell ref="D79:H79"/>
    <mergeCell ref="I79:M79"/>
    <mergeCell ref="G7:G8"/>
    <mergeCell ref="H7:H8"/>
    <mergeCell ref="I7:K7"/>
    <mergeCell ref="L1:M1"/>
    <mergeCell ref="A3:B3"/>
    <mergeCell ref="K3:M3"/>
    <mergeCell ref="A4:M4"/>
    <mergeCell ref="H5:M5"/>
    <mergeCell ref="A6:A8"/>
    <mergeCell ref="B6:B8"/>
    <mergeCell ref="D6:E6"/>
    <mergeCell ref="F6:F8"/>
    <mergeCell ref="G6:K6"/>
  </mergeCells>
  <printOptions horizontalCentered="1"/>
  <pageMargins left="0.25" right="0.25" top="0.5" bottom="0.25" header="0.5" footer="0.5"/>
  <pageSetup horizontalDpi="600" verticalDpi="600" orientation="portrait" paperSize="9" scale="72" r:id="rId3"/>
  <legacyDrawing r:id="rId2"/>
</worksheet>
</file>

<file path=xl/worksheets/sheet12.xml><?xml version="1.0" encoding="utf-8"?>
<worksheet xmlns="http://schemas.openxmlformats.org/spreadsheetml/2006/main" xmlns:r="http://schemas.openxmlformats.org/officeDocument/2006/relationships">
  <dimension ref="A1:L103"/>
  <sheetViews>
    <sheetView zoomScalePageLayoutView="0" workbookViewId="0" topLeftCell="A46">
      <selection activeCell="B60" sqref="B60"/>
    </sheetView>
  </sheetViews>
  <sheetFormatPr defaultColWidth="9.140625" defaultRowHeight="12.75"/>
  <cols>
    <col min="1" max="1" width="6.00390625" style="899" customWidth="1"/>
    <col min="2" max="2" width="58.00390625" style="950" customWidth="1"/>
    <col min="3" max="3" width="11.421875" style="899" customWidth="1"/>
    <col min="4" max="4" width="10.57421875" style="899" customWidth="1"/>
    <col min="5" max="5" width="13.421875" style="899" customWidth="1"/>
    <col min="6" max="6" width="14.00390625" style="899" hidden="1" customWidth="1"/>
    <col min="7" max="7" width="12.421875" style="899" hidden="1" customWidth="1"/>
    <col min="8" max="8" width="11.57421875" style="899" hidden="1" customWidth="1"/>
    <col min="9" max="9" width="8.00390625" style="899" customWidth="1"/>
    <col min="10" max="10" width="9.421875" style="899" customWidth="1"/>
    <col min="11" max="14" width="9.140625" style="899" customWidth="1"/>
    <col min="15" max="15" width="8.57421875" style="899" customWidth="1"/>
    <col min="16" max="16384" width="9.140625" style="899" customWidth="1"/>
  </cols>
  <sheetData>
    <row r="1" spans="1:12" ht="16.5" customHeight="1">
      <c r="A1" s="121" t="s">
        <v>1114</v>
      </c>
      <c r="B1" s="896"/>
      <c r="C1" s="897"/>
      <c r="D1" s="897"/>
      <c r="E1" s="77"/>
      <c r="F1" s="77"/>
      <c r="G1" s="898" t="s">
        <v>177</v>
      </c>
      <c r="H1" s="898"/>
      <c r="I1" s="898"/>
      <c r="J1" s="898"/>
      <c r="K1" s="77"/>
      <c r="L1" s="77"/>
    </row>
    <row r="2" spans="1:12" ht="16.5" customHeight="1">
      <c r="A2" s="1180" t="s">
        <v>178</v>
      </c>
      <c r="B2" s="1180"/>
      <c r="C2" s="1180"/>
      <c r="D2" s="1180"/>
      <c r="E2" s="1180"/>
      <c r="F2" s="1180"/>
      <c r="G2" s="1180"/>
      <c r="H2" s="1180"/>
      <c r="I2" s="1180"/>
      <c r="J2" s="1180"/>
      <c r="K2" s="77"/>
      <c r="L2" s="77"/>
    </row>
    <row r="3" spans="1:12" ht="16.5" customHeight="1">
      <c r="A3" s="900"/>
      <c r="B3" s="901"/>
      <c r="C3" s="900"/>
      <c r="D3" s="900"/>
      <c r="E3" s="1260" t="s">
        <v>802</v>
      </c>
      <c r="F3" s="1260"/>
      <c r="G3" s="1260"/>
      <c r="H3" s="1260"/>
      <c r="I3" s="1260"/>
      <c r="J3" s="1260"/>
      <c r="K3" s="902"/>
      <c r="L3" s="77"/>
    </row>
    <row r="4" spans="1:12" ht="21.75" customHeight="1">
      <c r="A4" s="1261" t="s">
        <v>179</v>
      </c>
      <c r="B4" s="1263" t="s">
        <v>550</v>
      </c>
      <c r="C4" s="1264" t="s">
        <v>180</v>
      </c>
      <c r="D4" s="1265"/>
      <c r="E4" s="1266" t="s">
        <v>181</v>
      </c>
      <c r="F4" s="1267"/>
      <c r="G4" s="1267"/>
      <c r="H4" s="1268"/>
      <c r="I4" s="1264" t="s">
        <v>182</v>
      </c>
      <c r="J4" s="1265"/>
      <c r="K4" s="897"/>
      <c r="L4" s="77"/>
    </row>
    <row r="5" spans="1:12" ht="21.75" customHeight="1">
      <c r="A5" s="1262"/>
      <c r="B5" s="1099"/>
      <c r="C5" s="903" t="s">
        <v>1706</v>
      </c>
      <c r="D5" s="904" t="s">
        <v>1707</v>
      </c>
      <c r="E5" s="1269"/>
      <c r="F5" s="1270"/>
      <c r="G5" s="1270"/>
      <c r="H5" s="1271"/>
      <c r="I5" s="905" t="s">
        <v>1706</v>
      </c>
      <c r="J5" s="904" t="s">
        <v>1707</v>
      </c>
      <c r="K5" s="897"/>
      <c r="L5" s="77"/>
    </row>
    <row r="6" spans="1:12" ht="15.75" customHeight="1">
      <c r="A6" s="906"/>
      <c r="B6" s="907" t="s">
        <v>1046</v>
      </c>
      <c r="C6" s="908">
        <f aca="true" t="shared" si="0" ref="C6:H6">SUM(C7,C58,C84)</f>
        <v>6628924</v>
      </c>
      <c r="D6" s="908">
        <f t="shared" si="0"/>
        <v>6651424</v>
      </c>
      <c r="E6" s="909">
        <f t="shared" si="0"/>
        <v>9016790.67</v>
      </c>
      <c r="F6" s="909">
        <f t="shared" si="0"/>
        <v>4252863.63</v>
      </c>
      <c r="G6" s="909">
        <f t="shared" si="0"/>
        <v>4076446.59</v>
      </c>
      <c r="H6" s="909">
        <f t="shared" si="0"/>
        <v>687480.45</v>
      </c>
      <c r="I6" s="910">
        <f>E6/C6</f>
        <v>1.3602193463071834</v>
      </c>
      <c r="J6" s="911">
        <f>E6/D6</f>
        <v>1.3556180856911242</v>
      </c>
      <c r="K6" s="897"/>
      <c r="L6" s="77"/>
    </row>
    <row r="7" spans="1:12" ht="15.75" customHeight="1">
      <c r="A7" s="912" t="s">
        <v>952</v>
      </c>
      <c r="B7" s="913" t="s">
        <v>183</v>
      </c>
      <c r="C7" s="164">
        <f>SUM(C8,C16:C17,C55:C56)</f>
        <v>6628924</v>
      </c>
      <c r="D7" s="164">
        <f>SUM(D8,D16:D17,D55:D57)</f>
        <v>6628924</v>
      </c>
      <c r="E7" s="914">
        <f>SUM(E8,E16:E17,E55:E57)</f>
        <v>8831886.81</v>
      </c>
      <c r="F7" s="914">
        <f>SUM(F8,F16:F17,F55:F57)</f>
        <v>4099674.9899999998</v>
      </c>
      <c r="G7" s="914">
        <f>SUM(G8,G16:G17,G55:G57)</f>
        <v>4047061.34</v>
      </c>
      <c r="H7" s="914">
        <f>SUM(H8,H16:H17,H55:H57)</f>
        <v>685150.48</v>
      </c>
      <c r="I7" s="621">
        <f>SUM(E7/C7)</f>
        <v>1.3323258510732663</v>
      </c>
      <c r="J7" s="621">
        <f>SUM(E7/D7)</f>
        <v>1.3323258510732663</v>
      </c>
      <c r="K7" s="897"/>
      <c r="L7" s="77"/>
    </row>
    <row r="8" spans="1:12" ht="15.75" customHeight="1">
      <c r="A8" s="915">
        <v>1</v>
      </c>
      <c r="B8" s="916" t="s">
        <v>808</v>
      </c>
      <c r="C8" s="917">
        <f>SUM(C11:C14)</f>
        <v>1390950</v>
      </c>
      <c r="D8" s="917">
        <f>SUM(D11:D14)</f>
        <v>1294846</v>
      </c>
      <c r="E8" s="918">
        <f>SUM(E11:E15)</f>
        <v>1423085.3200000003</v>
      </c>
      <c r="F8" s="918">
        <f>SUM(F11:F15)</f>
        <v>905252.91</v>
      </c>
      <c r="G8" s="918">
        <f>SUM(G11:G15)</f>
        <v>491104.95</v>
      </c>
      <c r="H8" s="918">
        <f>SUM(H11:H15)</f>
        <v>26727.46</v>
      </c>
      <c r="I8" s="919">
        <f>SUM(E8/C8)</f>
        <v>1.023103145332327</v>
      </c>
      <c r="J8" s="919">
        <f>SUM(E8/D8)</f>
        <v>1.0990382794556266</v>
      </c>
      <c r="K8" s="897"/>
      <c r="L8" s="77"/>
    </row>
    <row r="9" spans="1:12" ht="15.75" customHeight="1">
      <c r="A9" s="915"/>
      <c r="B9" s="916" t="s">
        <v>184</v>
      </c>
      <c r="C9" s="917">
        <v>54000</v>
      </c>
      <c r="D9" s="917">
        <v>54000</v>
      </c>
      <c r="E9" s="918">
        <f>SUM(F9:H9)</f>
        <v>108758.1</v>
      </c>
      <c r="F9" s="918">
        <v>58924.93</v>
      </c>
      <c r="G9" s="918">
        <v>49833.17</v>
      </c>
      <c r="H9" s="154"/>
      <c r="I9" s="919"/>
      <c r="J9" s="919"/>
      <c r="K9" s="897"/>
      <c r="L9" s="77"/>
    </row>
    <row r="10" spans="1:12" ht="15.75" customHeight="1">
      <c r="A10" s="915"/>
      <c r="B10" s="916" t="s">
        <v>185</v>
      </c>
      <c r="C10" s="917">
        <v>9000</v>
      </c>
      <c r="D10" s="917">
        <v>9000</v>
      </c>
      <c r="E10" s="918">
        <f>SUM(F10:H10)</f>
        <v>8363.62</v>
      </c>
      <c r="F10" s="918">
        <v>8363.62</v>
      </c>
      <c r="G10" s="918"/>
      <c r="H10" s="154"/>
      <c r="I10" s="919"/>
      <c r="J10" s="919"/>
      <c r="K10" s="897"/>
      <c r="L10" s="77"/>
    </row>
    <row r="11" spans="1:12" ht="15.75" customHeight="1">
      <c r="A11" s="915"/>
      <c r="B11" s="916" t="s">
        <v>186</v>
      </c>
      <c r="C11" s="917">
        <v>1365950</v>
      </c>
      <c r="D11" s="151">
        <v>1280596</v>
      </c>
      <c r="E11" s="918">
        <f>SUM(F11:H11)</f>
        <v>1301772.09</v>
      </c>
      <c r="F11" s="918">
        <v>798225.29</v>
      </c>
      <c r="G11" s="918">
        <v>481659.71</v>
      </c>
      <c r="H11" s="154">
        <v>21887.09</v>
      </c>
      <c r="I11" s="919">
        <f>SUM(E11/C11)</f>
        <v>0.9530159156630916</v>
      </c>
      <c r="J11" s="919">
        <f aca="true" t="shared" si="1" ref="J11:J55">SUM(E11/D11)</f>
        <v>1.016536120681308</v>
      </c>
      <c r="K11" s="897"/>
      <c r="L11" s="77"/>
    </row>
    <row r="12" spans="1:12" ht="15.75" customHeight="1">
      <c r="A12" s="915"/>
      <c r="B12" s="916" t="s">
        <v>187</v>
      </c>
      <c r="C12" s="920"/>
      <c r="D12" s="151"/>
      <c r="E12" s="918">
        <f aca="true" t="shared" si="2" ref="E12:E20">SUM(F12:H12)</f>
        <v>94424.04</v>
      </c>
      <c r="F12" s="918">
        <v>94424.04</v>
      </c>
      <c r="G12" s="918"/>
      <c r="H12" s="154"/>
      <c r="I12" s="919"/>
      <c r="J12" s="919"/>
      <c r="K12" s="897"/>
      <c r="L12" s="77"/>
    </row>
    <row r="13" spans="1:12" ht="15.75" customHeight="1">
      <c r="A13" s="915"/>
      <c r="B13" s="916" t="s">
        <v>188</v>
      </c>
      <c r="C13" s="920"/>
      <c r="D13" s="917"/>
      <c r="E13" s="918">
        <f>SUM(F13:H13)</f>
        <v>1458.57</v>
      </c>
      <c r="F13" s="918">
        <f>1458.57</f>
        <v>1458.57</v>
      </c>
      <c r="G13" s="918"/>
      <c r="H13" s="154"/>
      <c r="I13" s="919"/>
      <c r="J13" s="919"/>
      <c r="K13" s="897"/>
      <c r="L13" s="77"/>
    </row>
    <row r="14" spans="1:12" ht="15.75" customHeight="1">
      <c r="A14" s="915"/>
      <c r="B14" s="916" t="s">
        <v>189</v>
      </c>
      <c r="C14" s="917">
        <v>25000</v>
      </c>
      <c r="D14" s="917">
        <f>10750+3500</f>
        <v>14250</v>
      </c>
      <c r="E14" s="918">
        <f>SUM(F14:H14)</f>
        <v>23030.62</v>
      </c>
      <c r="F14" s="918">
        <v>9145.01</v>
      </c>
      <c r="G14" s="918">
        <v>9045.24</v>
      </c>
      <c r="H14" s="154">
        <v>4840.37</v>
      </c>
      <c r="I14" s="919"/>
      <c r="J14" s="919"/>
      <c r="K14" s="897"/>
      <c r="L14" s="77"/>
    </row>
    <row r="15" spans="1:12" ht="15.75" customHeight="1">
      <c r="A15" s="915"/>
      <c r="B15" s="916" t="s">
        <v>190</v>
      </c>
      <c r="C15" s="917"/>
      <c r="D15" s="917"/>
      <c r="E15" s="918">
        <f>SUM(F15:H15)</f>
        <v>2400</v>
      </c>
      <c r="F15" s="918">
        <v>2000</v>
      </c>
      <c r="G15" s="918">
        <v>400</v>
      </c>
      <c r="H15" s="154"/>
      <c r="I15" s="919"/>
      <c r="J15" s="919"/>
      <c r="K15" s="897"/>
      <c r="L15" s="77"/>
    </row>
    <row r="16" spans="1:12" ht="15.75" customHeight="1">
      <c r="A16" s="915">
        <v>2</v>
      </c>
      <c r="B16" s="916" t="s">
        <v>191</v>
      </c>
      <c r="C16" s="920"/>
      <c r="D16" s="917">
        <v>85354</v>
      </c>
      <c r="E16" s="918">
        <f t="shared" si="2"/>
        <v>105854.3</v>
      </c>
      <c r="F16" s="918">
        <f>85154.3+20700</f>
        <v>105854.3</v>
      </c>
      <c r="G16" s="918"/>
      <c r="H16" s="154"/>
      <c r="I16" s="919"/>
      <c r="J16" s="919">
        <f t="shared" si="1"/>
        <v>1.2401797220985542</v>
      </c>
      <c r="K16" s="897"/>
      <c r="L16" s="77"/>
    </row>
    <row r="17" spans="1:12" ht="15.75" customHeight="1">
      <c r="A17" s="921">
        <v>3</v>
      </c>
      <c r="B17" s="922" t="s">
        <v>809</v>
      </c>
      <c r="C17" s="151">
        <f aca="true" t="shared" si="3" ref="C17:H17">SUM(C18,C21,C25,C28:C33,C39:C41,C45,C54)</f>
        <v>5121794</v>
      </c>
      <c r="D17" s="151">
        <f t="shared" si="3"/>
        <v>5132544</v>
      </c>
      <c r="E17" s="154">
        <f t="shared" si="3"/>
        <v>5669186.180000001</v>
      </c>
      <c r="F17" s="154">
        <f t="shared" si="3"/>
        <v>1816503.9899999998</v>
      </c>
      <c r="G17" s="154">
        <f t="shared" si="3"/>
        <v>3219110.88</v>
      </c>
      <c r="H17" s="154">
        <f t="shared" si="3"/>
        <v>633571.31</v>
      </c>
      <c r="I17" s="919">
        <f>SUM(E17/C17)</f>
        <v>1.1068750871276745</v>
      </c>
      <c r="J17" s="919">
        <f t="shared" si="1"/>
        <v>1.1045567617150482</v>
      </c>
      <c r="K17" s="897"/>
      <c r="L17" s="77"/>
    </row>
    <row r="18" spans="1:12" ht="15.75" customHeight="1">
      <c r="A18" s="921" t="s">
        <v>192</v>
      </c>
      <c r="B18" s="922" t="s">
        <v>193</v>
      </c>
      <c r="C18" s="917">
        <f aca="true" t="shared" si="4" ref="C18:H18">SUM(C19:C20)</f>
        <v>18030</v>
      </c>
      <c r="D18" s="917">
        <f t="shared" si="4"/>
        <v>108348</v>
      </c>
      <c r="E18" s="918">
        <f t="shared" si="4"/>
        <v>156823.54</v>
      </c>
      <c r="F18" s="918">
        <f t="shared" si="4"/>
        <v>57160.22</v>
      </c>
      <c r="G18" s="918">
        <f t="shared" si="4"/>
        <v>38408.240000000005</v>
      </c>
      <c r="H18" s="918">
        <f t="shared" si="4"/>
        <v>61255.08</v>
      </c>
      <c r="I18" s="918"/>
      <c r="J18" s="919">
        <f t="shared" si="1"/>
        <v>1.4474059511942998</v>
      </c>
      <c r="K18" s="897"/>
      <c r="L18" s="77"/>
    </row>
    <row r="19" spans="1:12" ht="15.75" customHeight="1">
      <c r="A19" s="921"/>
      <c r="B19" s="922" t="s">
        <v>194</v>
      </c>
      <c r="C19" s="917">
        <v>11650</v>
      </c>
      <c r="D19" s="917">
        <v>30564</v>
      </c>
      <c r="E19" s="918">
        <f t="shared" si="2"/>
        <v>48945.03</v>
      </c>
      <c r="F19" s="154">
        <v>13159.19</v>
      </c>
      <c r="G19" s="154">
        <v>13581.52</v>
      </c>
      <c r="H19" s="154">
        <v>22204.32</v>
      </c>
      <c r="I19" s="919"/>
      <c r="J19" s="919">
        <f t="shared" si="1"/>
        <v>1.6013947781703965</v>
      </c>
      <c r="K19" s="897"/>
      <c r="L19" s="77"/>
    </row>
    <row r="20" spans="1:12" ht="15.75" customHeight="1">
      <c r="A20" s="921"/>
      <c r="B20" s="922" t="s">
        <v>195</v>
      </c>
      <c r="C20" s="917">
        <v>6380</v>
      </c>
      <c r="D20" s="917">
        <v>77784</v>
      </c>
      <c r="E20" s="918">
        <f t="shared" si="2"/>
        <v>107878.51000000001</v>
      </c>
      <c r="F20" s="154">
        <v>44001.03</v>
      </c>
      <c r="G20" s="154">
        <v>24826.72</v>
      </c>
      <c r="H20" s="154">
        <v>39050.76</v>
      </c>
      <c r="I20" s="919"/>
      <c r="J20" s="919">
        <f t="shared" si="1"/>
        <v>1.3868984624087217</v>
      </c>
      <c r="K20" s="897"/>
      <c r="L20" s="77"/>
    </row>
    <row r="21" spans="1:12" ht="15.75" customHeight="1">
      <c r="A21" s="921" t="s">
        <v>196</v>
      </c>
      <c r="B21" s="922" t="s">
        <v>197</v>
      </c>
      <c r="C21" s="917">
        <v>2381604</v>
      </c>
      <c r="D21" s="917">
        <f>SUM(D22:D24)</f>
        <v>2526104</v>
      </c>
      <c r="E21" s="918">
        <f>SUM(E22:E24)</f>
        <v>2664120.77</v>
      </c>
      <c r="F21" s="918">
        <f>SUM(F22:F24)</f>
        <v>446207.75</v>
      </c>
      <c r="G21" s="918">
        <f>SUM(G22:G24)</f>
        <v>2213682.8</v>
      </c>
      <c r="H21" s="918">
        <f>SUM(H22:H24)</f>
        <v>4230.22</v>
      </c>
      <c r="I21" s="923">
        <f>E21/C21</f>
        <v>1.1186245782254314</v>
      </c>
      <c r="J21" s="919">
        <f t="shared" si="1"/>
        <v>1.0546362184613143</v>
      </c>
      <c r="K21" s="897"/>
      <c r="L21" s="77"/>
    </row>
    <row r="22" spans="1:12" ht="15.75" customHeight="1">
      <c r="A22" s="924"/>
      <c r="B22" s="922" t="s">
        <v>198</v>
      </c>
      <c r="C22" s="917">
        <v>2366291</v>
      </c>
      <c r="D22" s="917">
        <v>2395917</v>
      </c>
      <c r="E22" s="918">
        <f aca="true" t="shared" si="5" ref="E22:E32">SUM(F22:H22)</f>
        <v>2530612.68</v>
      </c>
      <c r="F22" s="154">
        <v>340558.2</v>
      </c>
      <c r="G22" s="154">
        <v>2188454.35</v>
      </c>
      <c r="H22" s="154">
        <v>1600.13</v>
      </c>
      <c r="I22" s="919"/>
      <c r="J22" s="919">
        <f t="shared" si="1"/>
        <v>1.0562188423054724</v>
      </c>
      <c r="K22" s="897"/>
      <c r="L22" s="77"/>
    </row>
    <row r="23" spans="1:12" ht="15.75" customHeight="1">
      <c r="A23" s="921"/>
      <c r="B23" s="922" t="s">
        <v>199</v>
      </c>
      <c r="C23" s="920"/>
      <c r="D23" s="917">
        <v>114874</v>
      </c>
      <c r="E23" s="918">
        <f t="shared" si="5"/>
        <v>127054.98000000001</v>
      </c>
      <c r="F23" s="154">
        <v>103813.57</v>
      </c>
      <c r="G23" s="154">
        <v>20684.32</v>
      </c>
      <c r="H23" s="154">
        <v>2557.09</v>
      </c>
      <c r="I23" s="919"/>
      <c r="J23" s="919">
        <f t="shared" si="1"/>
        <v>1.1060377457039887</v>
      </c>
      <c r="K23" s="897"/>
      <c r="L23" s="77"/>
    </row>
    <row r="24" spans="1:12" ht="15.75" customHeight="1">
      <c r="A24" s="921"/>
      <c r="B24" s="922" t="s">
        <v>200</v>
      </c>
      <c r="C24" s="917">
        <v>15313</v>
      </c>
      <c r="D24" s="917">
        <v>15313</v>
      </c>
      <c r="E24" s="918">
        <f t="shared" si="5"/>
        <v>6453.110000000001</v>
      </c>
      <c r="F24" s="154">
        <v>1835.98</v>
      </c>
      <c r="G24" s="154">
        <v>4544.13</v>
      </c>
      <c r="H24" s="154">
        <v>73</v>
      </c>
      <c r="I24" s="919"/>
      <c r="J24" s="919">
        <f t="shared" si="1"/>
        <v>0.4214138313850977</v>
      </c>
      <c r="K24" s="897"/>
      <c r="L24" s="77"/>
    </row>
    <row r="25" spans="1:12" ht="15.75" customHeight="1">
      <c r="A25" s="921" t="s">
        <v>201</v>
      </c>
      <c r="B25" s="922" t="s">
        <v>202</v>
      </c>
      <c r="C25" s="917">
        <v>8855</v>
      </c>
      <c r="D25" s="917">
        <v>507768</v>
      </c>
      <c r="E25" s="918">
        <f t="shared" si="5"/>
        <v>684389.57</v>
      </c>
      <c r="F25" s="154">
        <v>683039.94</v>
      </c>
      <c r="G25" s="154">
        <v>1349.63</v>
      </c>
      <c r="H25" s="154"/>
      <c r="I25" s="919"/>
      <c r="J25" s="919">
        <f t="shared" si="1"/>
        <v>1.3478391115627608</v>
      </c>
      <c r="K25" s="897"/>
      <c r="L25" s="77"/>
    </row>
    <row r="26" spans="1:12" ht="15.75" customHeight="1">
      <c r="A26" s="921"/>
      <c r="B26" s="922" t="s">
        <v>203</v>
      </c>
      <c r="C26" s="917"/>
      <c r="D26" s="917">
        <v>124749</v>
      </c>
      <c r="E26" s="918">
        <f t="shared" si="5"/>
        <v>210446.39</v>
      </c>
      <c r="F26" s="154">
        <v>210446.39</v>
      </c>
      <c r="G26" s="154"/>
      <c r="H26" s="154"/>
      <c r="I26" s="919"/>
      <c r="J26" s="919">
        <f t="shared" si="1"/>
        <v>1.6869585327337295</v>
      </c>
      <c r="K26" s="897"/>
      <c r="L26" s="77"/>
    </row>
    <row r="27" spans="1:12" ht="15.75" customHeight="1">
      <c r="A27" s="921"/>
      <c r="B27" s="922" t="s">
        <v>204</v>
      </c>
      <c r="C27" s="917"/>
      <c r="D27" s="917">
        <v>31342</v>
      </c>
      <c r="E27" s="918">
        <f t="shared" si="5"/>
        <v>51826.84</v>
      </c>
      <c r="F27" s="154">
        <v>51826.84</v>
      </c>
      <c r="G27" s="154"/>
      <c r="H27" s="154"/>
      <c r="I27" s="919"/>
      <c r="J27" s="919"/>
      <c r="K27" s="897"/>
      <c r="L27" s="77"/>
    </row>
    <row r="28" spans="1:12" ht="15.75" customHeight="1">
      <c r="A28" s="921" t="s">
        <v>205</v>
      </c>
      <c r="B28" s="922" t="s">
        <v>206</v>
      </c>
      <c r="C28" s="917">
        <v>12298</v>
      </c>
      <c r="D28" s="917">
        <v>14298</v>
      </c>
      <c r="E28" s="918">
        <f t="shared" si="5"/>
        <v>12738.72</v>
      </c>
      <c r="F28" s="154">
        <v>12738.72</v>
      </c>
      <c r="G28" s="154"/>
      <c r="H28" s="154"/>
      <c r="I28" s="919">
        <f>SUM(E28/C28)</f>
        <v>1.0358367214181168</v>
      </c>
      <c r="J28" s="919">
        <f t="shared" si="1"/>
        <v>0.8909441879983214</v>
      </c>
      <c r="K28" s="897"/>
      <c r="L28" s="77"/>
    </row>
    <row r="29" spans="1:12" ht="15.75" customHeight="1">
      <c r="A29" s="921" t="s">
        <v>207</v>
      </c>
      <c r="B29" s="922" t="s">
        <v>208</v>
      </c>
      <c r="C29" s="917">
        <v>9487</v>
      </c>
      <c r="D29" s="917">
        <v>59593</v>
      </c>
      <c r="E29" s="918">
        <f t="shared" si="5"/>
        <v>73167.47</v>
      </c>
      <c r="F29" s="154">
        <v>39319.54</v>
      </c>
      <c r="G29" s="154">
        <v>28070.34</v>
      </c>
      <c r="H29" s="154">
        <v>5777.59</v>
      </c>
      <c r="I29" s="919"/>
      <c r="J29" s="919">
        <f t="shared" si="1"/>
        <v>1.2277863171849044</v>
      </c>
      <c r="K29" s="897"/>
      <c r="L29" s="77"/>
    </row>
    <row r="30" spans="1:12" ht="15.75" customHeight="1">
      <c r="A30" s="921" t="s">
        <v>209</v>
      </c>
      <c r="B30" s="922" t="s">
        <v>210</v>
      </c>
      <c r="C30" s="917">
        <v>165</v>
      </c>
      <c r="D30" s="917">
        <v>36839</v>
      </c>
      <c r="E30" s="918">
        <f t="shared" si="5"/>
        <v>36132.41</v>
      </c>
      <c r="F30" s="154">
        <v>17880.94</v>
      </c>
      <c r="G30" s="154">
        <v>18251.47</v>
      </c>
      <c r="H30" s="154"/>
      <c r="I30" s="919"/>
      <c r="J30" s="919">
        <f t="shared" si="1"/>
        <v>0.9808195119302914</v>
      </c>
      <c r="K30" s="897"/>
      <c r="L30" s="77"/>
    </row>
    <row r="31" spans="1:12" ht="15.75" customHeight="1">
      <c r="A31" s="921" t="s">
        <v>211</v>
      </c>
      <c r="B31" s="922" t="s">
        <v>212</v>
      </c>
      <c r="C31" s="151"/>
      <c r="D31" s="151">
        <v>11074</v>
      </c>
      <c r="E31" s="154">
        <f t="shared" si="5"/>
        <v>13677.660000000002</v>
      </c>
      <c r="F31" s="154">
        <v>5872</v>
      </c>
      <c r="G31" s="154">
        <v>6387.06</v>
      </c>
      <c r="H31" s="154">
        <v>1418.6</v>
      </c>
      <c r="I31" s="925"/>
      <c r="J31" s="925">
        <f t="shared" si="1"/>
        <v>1.2351146830413582</v>
      </c>
      <c r="K31" s="897"/>
      <c r="L31" s="77"/>
    </row>
    <row r="32" spans="1:12" ht="15.75" customHeight="1">
      <c r="A32" s="915" t="s">
        <v>213</v>
      </c>
      <c r="B32" s="916" t="s">
        <v>214</v>
      </c>
      <c r="C32" s="917">
        <v>16228</v>
      </c>
      <c r="D32" s="917">
        <v>104215</v>
      </c>
      <c r="E32" s="918">
        <f t="shared" si="5"/>
        <v>157226.38</v>
      </c>
      <c r="F32" s="918">
        <v>56164.22</v>
      </c>
      <c r="G32" s="918">
        <v>61087.32</v>
      </c>
      <c r="H32" s="918">
        <v>39974.84</v>
      </c>
      <c r="I32" s="919"/>
      <c r="J32" s="919">
        <f t="shared" si="1"/>
        <v>1.5086732236242384</v>
      </c>
      <c r="K32" s="897"/>
      <c r="L32" s="77"/>
    </row>
    <row r="33" spans="1:12" ht="15.75" customHeight="1">
      <c r="A33" s="921" t="s">
        <v>215</v>
      </c>
      <c r="B33" s="922" t="s">
        <v>216</v>
      </c>
      <c r="C33" s="917">
        <f aca="true" t="shared" si="6" ref="C33:H33">SUM(C34:C38)</f>
        <v>184397</v>
      </c>
      <c r="D33" s="917">
        <f t="shared" si="6"/>
        <v>613447</v>
      </c>
      <c r="E33" s="918">
        <f t="shared" si="6"/>
        <v>665859.7</v>
      </c>
      <c r="F33" s="918">
        <f t="shared" si="6"/>
        <v>151389.69</v>
      </c>
      <c r="G33" s="918">
        <f t="shared" si="6"/>
        <v>446653.15</v>
      </c>
      <c r="H33" s="918">
        <f t="shared" si="6"/>
        <v>67816.86</v>
      </c>
      <c r="I33" s="919"/>
      <c r="J33" s="919">
        <f t="shared" si="1"/>
        <v>1.085439654933515</v>
      </c>
      <c r="K33" s="897"/>
      <c r="L33" s="77"/>
    </row>
    <row r="34" spans="1:12" ht="15.75" customHeight="1">
      <c r="A34" s="921"/>
      <c r="B34" s="922" t="s">
        <v>217</v>
      </c>
      <c r="C34" s="917">
        <v>70202</v>
      </c>
      <c r="D34" s="917">
        <v>204171</v>
      </c>
      <c r="E34" s="918">
        <f aca="true" t="shared" si="7" ref="E34:E40">SUM(F34:H34)</f>
        <v>303647.54</v>
      </c>
      <c r="F34" s="154">
        <v>64869.71</v>
      </c>
      <c r="G34" s="154">
        <v>189679.47</v>
      </c>
      <c r="H34" s="154">
        <v>49098.36</v>
      </c>
      <c r="I34" s="919"/>
      <c r="J34" s="919">
        <f t="shared" si="1"/>
        <v>1.4872216916212389</v>
      </c>
      <c r="K34" s="897"/>
      <c r="L34" s="77"/>
    </row>
    <row r="35" spans="1:12" ht="15.75" customHeight="1">
      <c r="A35" s="921"/>
      <c r="B35" s="922" t="s">
        <v>218</v>
      </c>
      <c r="C35" s="920"/>
      <c r="D35" s="917">
        <v>60081</v>
      </c>
      <c r="E35" s="918">
        <f t="shared" si="7"/>
        <v>121626.82</v>
      </c>
      <c r="F35" s="154">
        <v>3952.23</v>
      </c>
      <c r="G35" s="154">
        <v>111108.71</v>
      </c>
      <c r="H35" s="154">
        <v>6565.88</v>
      </c>
      <c r="I35" s="919"/>
      <c r="J35" s="919">
        <f t="shared" si="1"/>
        <v>2.0243807526505884</v>
      </c>
      <c r="K35" s="897"/>
      <c r="L35" s="77"/>
    </row>
    <row r="36" spans="1:12" ht="15.75" customHeight="1">
      <c r="A36" s="921"/>
      <c r="B36" s="922" t="s">
        <v>219</v>
      </c>
      <c r="C36" s="920"/>
      <c r="D36" s="917">
        <v>1545</v>
      </c>
      <c r="E36" s="918">
        <f t="shared" si="7"/>
        <v>1456.95</v>
      </c>
      <c r="F36" s="154">
        <v>1456.95</v>
      </c>
      <c r="G36" s="154"/>
      <c r="H36" s="154"/>
      <c r="I36" s="919"/>
      <c r="J36" s="919">
        <f t="shared" si="1"/>
        <v>0.9430097087378642</v>
      </c>
      <c r="K36" s="897"/>
      <c r="L36" s="77"/>
    </row>
    <row r="37" spans="1:12" ht="15.75" customHeight="1">
      <c r="A37" s="921"/>
      <c r="B37" s="922" t="s">
        <v>220</v>
      </c>
      <c r="C37" s="920"/>
      <c r="D37" s="917">
        <v>81697</v>
      </c>
      <c r="E37" s="918">
        <f t="shared" si="7"/>
        <v>31880.08</v>
      </c>
      <c r="F37" s="154"/>
      <c r="G37" s="154">
        <v>31880.08</v>
      </c>
      <c r="H37" s="154"/>
      <c r="I37" s="919"/>
      <c r="J37" s="919">
        <f t="shared" si="1"/>
        <v>0.3902233864156579</v>
      </c>
      <c r="K37" s="897"/>
      <c r="L37" s="77"/>
    </row>
    <row r="38" spans="1:12" ht="15.75" customHeight="1">
      <c r="A38" s="921"/>
      <c r="B38" s="922" t="s">
        <v>221</v>
      </c>
      <c r="C38" s="917">
        <v>114195</v>
      </c>
      <c r="D38" s="917">
        <v>265953</v>
      </c>
      <c r="E38" s="918">
        <f t="shared" si="7"/>
        <v>207248.31</v>
      </c>
      <c r="F38" s="918">
        <v>81110.8</v>
      </c>
      <c r="G38" s="918">
        <v>113984.89</v>
      </c>
      <c r="H38" s="918">
        <v>12152.62</v>
      </c>
      <c r="I38" s="919"/>
      <c r="J38" s="919">
        <f t="shared" si="1"/>
        <v>0.779266674938805</v>
      </c>
      <c r="K38" s="897"/>
      <c r="L38" s="77"/>
    </row>
    <row r="39" spans="1:12" ht="15.75" customHeight="1">
      <c r="A39" s="921" t="s">
        <v>222</v>
      </c>
      <c r="B39" s="922" t="s">
        <v>223</v>
      </c>
      <c r="C39" s="917">
        <v>28870</v>
      </c>
      <c r="D39" s="917">
        <v>42691</v>
      </c>
      <c r="E39" s="918">
        <f t="shared" si="7"/>
        <v>36461.53</v>
      </c>
      <c r="F39" s="918">
        <v>7534.17</v>
      </c>
      <c r="G39" s="918">
        <v>28476.29</v>
      </c>
      <c r="H39" s="918">
        <v>451.07</v>
      </c>
      <c r="I39" s="919"/>
      <c r="J39" s="919">
        <f t="shared" si="1"/>
        <v>0.8540800168653815</v>
      </c>
      <c r="K39" s="897"/>
      <c r="L39" s="77"/>
    </row>
    <row r="40" spans="1:12" ht="15.75" customHeight="1">
      <c r="A40" s="921" t="s">
        <v>224</v>
      </c>
      <c r="B40" s="922" t="s">
        <v>225</v>
      </c>
      <c r="C40" s="151">
        <v>11167</v>
      </c>
      <c r="D40" s="917">
        <v>17424</v>
      </c>
      <c r="E40" s="918">
        <f t="shared" si="7"/>
        <v>23385.18</v>
      </c>
      <c r="F40" s="154">
        <v>5650</v>
      </c>
      <c r="G40" s="154">
        <v>17735.18</v>
      </c>
      <c r="H40" s="154"/>
      <c r="I40" s="919"/>
      <c r="J40" s="919">
        <f t="shared" si="1"/>
        <v>1.342124655647383</v>
      </c>
      <c r="K40" s="897"/>
      <c r="L40" s="77"/>
    </row>
    <row r="41" spans="1:12" ht="15.75" customHeight="1">
      <c r="A41" s="921" t="s">
        <v>226</v>
      </c>
      <c r="B41" s="922" t="s">
        <v>939</v>
      </c>
      <c r="C41" s="151">
        <f aca="true" t="shared" si="8" ref="C41:H41">SUM(C42:C44)</f>
        <v>61945</v>
      </c>
      <c r="D41" s="151">
        <f t="shared" si="8"/>
        <v>983665</v>
      </c>
      <c r="E41" s="918">
        <f t="shared" si="8"/>
        <v>1136815.37</v>
      </c>
      <c r="F41" s="918">
        <f t="shared" si="8"/>
        <v>331115.82</v>
      </c>
      <c r="G41" s="918">
        <f t="shared" si="8"/>
        <v>353626</v>
      </c>
      <c r="H41" s="918">
        <f t="shared" si="8"/>
        <v>452073.55</v>
      </c>
      <c r="I41" s="919"/>
      <c r="J41" s="919">
        <f t="shared" si="1"/>
        <v>1.155693625370426</v>
      </c>
      <c r="K41" s="897"/>
      <c r="L41" s="77"/>
    </row>
    <row r="42" spans="1:12" ht="15.75" customHeight="1">
      <c r="A42" s="921"/>
      <c r="B42" s="922" t="s">
        <v>227</v>
      </c>
      <c r="C42" s="151">
        <v>48625</v>
      </c>
      <c r="D42" s="917">
        <v>661485</v>
      </c>
      <c r="E42" s="918">
        <f>SUM(F42:H42)</f>
        <v>749875.9</v>
      </c>
      <c r="F42" s="154">
        <v>227205.25</v>
      </c>
      <c r="G42" s="154">
        <v>228821.25</v>
      </c>
      <c r="H42" s="154">
        <v>293849.4</v>
      </c>
      <c r="I42" s="919"/>
      <c r="J42" s="919">
        <f t="shared" si="1"/>
        <v>1.1336249499232787</v>
      </c>
      <c r="K42" s="897"/>
      <c r="L42" s="77"/>
    </row>
    <row r="43" spans="1:12" ht="15.75" customHeight="1">
      <c r="A43" s="926"/>
      <c r="B43" s="927" t="s">
        <v>228</v>
      </c>
      <c r="C43" s="151">
        <v>13320</v>
      </c>
      <c r="D43" s="928">
        <v>314070</v>
      </c>
      <c r="E43" s="918">
        <f>SUM(F43:H43)</f>
        <v>377721.92000000004</v>
      </c>
      <c r="F43" s="929">
        <v>95630.8</v>
      </c>
      <c r="G43" s="929">
        <v>124430.15</v>
      </c>
      <c r="H43" s="929">
        <v>157660.97</v>
      </c>
      <c r="I43" s="919"/>
      <c r="J43" s="919">
        <f t="shared" si="1"/>
        <v>1.2026679402680933</v>
      </c>
      <c r="K43" s="897"/>
      <c r="L43" s="77"/>
    </row>
    <row r="44" spans="1:12" ht="15.75" customHeight="1">
      <c r="A44" s="921"/>
      <c r="B44" s="922" t="s">
        <v>229</v>
      </c>
      <c r="C44" s="168"/>
      <c r="D44" s="151">
        <v>8110</v>
      </c>
      <c r="E44" s="918">
        <f>SUM(F44:H44)</f>
        <v>9217.550000000001</v>
      </c>
      <c r="F44" s="154">
        <v>8279.77</v>
      </c>
      <c r="G44" s="154">
        <v>374.6</v>
      </c>
      <c r="H44" s="154">
        <v>563.18</v>
      </c>
      <c r="I44" s="919"/>
      <c r="J44" s="919">
        <f t="shared" si="1"/>
        <v>1.136565967940814</v>
      </c>
      <c r="K44" s="897"/>
      <c r="L44" s="77"/>
    </row>
    <row r="45" spans="1:12" ht="15.75" customHeight="1">
      <c r="A45" s="921" t="s">
        <v>230</v>
      </c>
      <c r="B45" s="922" t="s">
        <v>941</v>
      </c>
      <c r="C45" s="151">
        <f aca="true" t="shared" si="9" ref="C45:J45">SUM(C46:C53)</f>
        <v>2388748</v>
      </c>
      <c r="D45" s="151">
        <f t="shared" si="9"/>
        <v>96992</v>
      </c>
      <c r="E45" s="154">
        <f t="shared" si="9"/>
        <v>8387.880000000001</v>
      </c>
      <c r="F45" s="154">
        <f t="shared" si="9"/>
        <v>2430.9800000000005</v>
      </c>
      <c r="G45" s="154">
        <f t="shared" si="9"/>
        <v>5383.4</v>
      </c>
      <c r="H45" s="154">
        <f t="shared" si="9"/>
        <v>573.5</v>
      </c>
      <c r="I45" s="151">
        <f t="shared" si="9"/>
        <v>0</v>
      </c>
      <c r="J45" s="918">
        <f t="shared" si="9"/>
        <v>0</v>
      </c>
      <c r="K45" s="897"/>
      <c r="L45" s="77"/>
    </row>
    <row r="46" spans="1:12" ht="15.75" customHeight="1">
      <c r="A46" s="921"/>
      <c r="B46" s="922" t="s">
        <v>231</v>
      </c>
      <c r="C46" s="920"/>
      <c r="D46" s="920"/>
      <c r="E46" s="918">
        <f>SUM(F46:H46)</f>
        <v>1491.6000000000001</v>
      </c>
      <c r="F46" s="154">
        <v>1441.69</v>
      </c>
      <c r="G46" s="154">
        <v>49.91</v>
      </c>
      <c r="H46" s="154"/>
      <c r="I46" s="919"/>
      <c r="J46" s="919"/>
      <c r="K46" s="897"/>
      <c r="L46" s="77"/>
    </row>
    <row r="47" spans="1:12" ht="15.75" customHeight="1">
      <c r="A47" s="926"/>
      <c r="B47" s="927" t="s">
        <v>232</v>
      </c>
      <c r="C47" s="930"/>
      <c r="D47" s="920"/>
      <c r="E47" s="918">
        <f aca="true" t="shared" si="10" ref="E47:E53">SUM(F47:H47)</f>
        <v>560.94</v>
      </c>
      <c r="F47" s="929"/>
      <c r="G47" s="929">
        <v>560.94</v>
      </c>
      <c r="H47" s="929"/>
      <c r="I47" s="919"/>
      <c r="J47" s="919"/>
      <c r="K47" s="897"/>
      <c r="L47" s="77"/>
    </row>
    <row r="48" spans="1:12" ht="15.75" customHeight="1">
      <c r="A48" s="926"/>
      <c r="B48" s="927" t="s">
        <v>233</v>
      </c>
      <c r="C48" s="168"/>
      <c r="D48" s="920"/>
      <c r="E48" s="918">
        <f t="shared" si="10"/>
        <v>24.41</v>
      </c>
      <c r="F48" s="929">
        <v>24.41</v>
      </c>
      <c r="G48" s="929"/>
      <c r="H48" s="929"/>
      <c r="I48" s="919"/>
      <c r="J48" s="919"/>
      <c r="K48" s="897"/>
      <c r="L48" s="77"/>
    </row>
    <row r="49" spans="1:12" ht="15.75" customHeight="1">
      <c r="A49" s="926"/>
      <c r="B49" s="927" t="s">
        <v>234</v>
      </c>
      <c r="C49" s="168"/>
      <c r="D49" s="920"/>
      <c r="E49" s="918">
        <f t="shared" si="10"/>
        <v>600</v>
      </c>
      <c r="F49" s="929"/>
      <c r="G49" s="929">
        <v>600</v>
      </c>
      <c r="H49" s="929"/>
      <c r="I49" s="919"/>
      <c r="J49" s="919"/>
      <c r="K49" s="897"/>
      <c r="L49" s="77"/>
    </row>
    <row r="50" spans="1:12" ht="15.75" customHeight="1">
      <c r="A50" s="926"/>
      <c r="B50" s="927" t="s">
        <v>235</v>
      </c>
      <c r="C50" s="168"/>
      <c r="D50" s="920"/>
      <c r="E50" s="918">
        <f t="shared" si="10"/>
        <v>500</v>
      </c>
      <c r="F50" s="929">
        <v>500</v>
      </c>
      <c r="G50" s="929"/>
      <c r="H50" s="929"/>
      <c r="I50" s="919"/>
      <c r="J50" s="919"/>
      <c r="K50" s="897"/>
      <c r="L50" s="77"/>
    </row>
    <row r="51" spans="1:12" ht="15.75" customHeight="1">
      <c r="A51" s="926"/>
      <c r="B51" s="927" t="s">
        <v>236</v>
      </c>
      <c r="C51" s="168"/>
      <c r="D51" s="920"/>
      <c r="E51" s="918">
        <f t="shared" si="10"/>
        <v>34.88</v>
      </c>
      <c r="F51" s="929">
        <v>34.88</v>
      </c>
      <c r="G51" s="929"/>
      <c r="H51" s="929"/>
      <c r="I51" s="919"/>
      <c r="J51" s="919"/>
      <c r="K51" s="897"/>
      <c r="L51" s="77"/>
    </row>
    <row r="52" spans="1:12" ht="15.75" customHeight="1">
      <c r="A52" s="926"/>
      <c r="B52" s="927" t="s">
        <v>237</v>
      </c>
      <c r="C52" s="917">
        <v>221740</v>
      </c>
      <c r="D52" s="917">
        <v>7700</v>
      </c>
      <c r="E52" s="918"/>
      <c r="F52" s="929"/>
      <c r="G52" s="929"/>
      <c r="H52" s="929"/>
      <c r="I52" s="919"/>
      <c r="J52" s="919"/>
      <c r="K52" s="897"/>
      <c r="L52" s="77"/>
    </row>
    <row r="53" spans="1:12" ht="15.75" customHeight="1">
      <c r="A53" s="926"/>
      <c r="B53" s="927" t="s">
        <v>238</v>
      </c>
      <c r="C53" s="917">
        <v>2167008</v>
      </c>
      <c r="D53" s="917">
        <v>89292</v>
      </c>
      <c r="E53" s="918">
        <f t="shared" si="10"/>
        <v>5176.05</v>
      </c>
      <c r="F53" s="929">
        <v>430</v>
      </c>
      <c r="G53" s="929">
        <v>4172.55</v>
      </c>
      <c r="H53" s="929">
        <v>573.5</v>
      </c>
      <c r="I53" s="919"/>
      <c r="J53" s="919"/>
      <c r="K53" s="897"/>
      <c r="L53" s="77"/>
    </row>
    <row r="54" spans="1:12" ht="15.75" customHeight="1">
      <c r="A54" s="926" t="s">
        <v>239</v>
      </c>
      <c r="B54" s="927" t="s">
        <v>240</v>
      </c>
      <c r="C54" s="917"/>
      <c r="D54" s="917">
        <v>10086</v>
      </c>
      <c r="E54" s="918"/>
      <c r="F54" s="929"/>
      <c r="G54" s="929"/>
      <c r="H54" s="929"/>
      <c r="I54" s="919"/>
      <c r="J54" s="919"/>
      <c r="K54" s="897"/>
      <c r="L54" s="77"/>
    </row>
    <row r="55" spans="1:12" ht="15.75" customHeight="1">
      <c r="A55" s="926">
        <v>4</v>
      </c>
      <c r="B55" s="927" t="s">
        <v>241</v>
      </c>
      <c r="C55" s="168">
        <v>1000</v>
      </c>
      <c r="D55" s="917">
        <v>1000</v>
      </c>
      <c r="E55" s="917">
        <f>SUM(F55:H55)</f>
        <v>1000</v>
      </c>
      <c r="F55" s="928">
        <v>1000</v>
      </c>
      <c r="G55" s="929"/>
      <c r="H55" s="929"/>
      <c r="I55" s="919">
        <f>SUM(E55/C55)</f>
        <v>1</v>
      </c>
      <c r="J55" s="919">
        <f t="shared" si="1"/>
        <v>1</v>
      </c>
      <c r="K55" s="897"/>
      <c r="L55" s="77"/>
    </row>
    <row r="56" spans="1:12" ht="15.75" customHeight="1">
      <c r="A56" s="926">
        <v>5</v>
      </c>
      <c r="B56" s="927" t="s">
        <v>1110</v>
      </c>
      <c r="C56" s="917">
        <v>115180</v>
      </c>
      <c r="D56" s="917">
        <v>115180</v>
      </c>
      <c r="E56" s="918"/>
      <c r="F56" s="929"/>
      <c r="G56" s="929"/>
      <c r="H56" s="929"/>
      <c r="I56" s="919"/>
      <c r="J56" s="919"/>
      <c r="K56" s="897"/>
      <c r="L56" s="77"/>
    </row>
    <row r="57" spans="1:12" ht="15.75" customHeight="1">
      <c r="A57" s="926">
        <v>6</v>
      </c>
      <c r="B57" s="927" t="s">
        <v>1097</v>
      </c>
      <c r="C57" s="168"/>
      <c r="D57" s="917"/>
      <c r="E57" s="918">
        <f>SUM(F57:H57)</f>
        <v>1632761.01</v>
      </c>
      <c r="F57" s="154">
        <v>1271063.79</v>
      </c>
      <c r="G57" s="154">
        <v>336845.51</v>
      </c>
      <c r="H57" s="154">
        <v>24851.71</v>
      </c>
      <c r="I57" s="168"/>
      <c r="J57" s="919"/>
      <c r="K57" s="897"/>
      <c r="L57" s="77"/>
    </row>
    <row r="58" spans="1:12" ht="15.75" customHeight="1">
      <c r="A58" s="931" t="s">
        <v>1012</v>
      </c>
      <c r="B58" s="932" t="s">
        <v>242</v>
      </c>
      <c r="C58" s="171"/>
      <c r="D58" s="160">
        <f>SUM(D59,D68)</f>
        <v>22500</v>
      </c>
      <c r="E58" s="161">
        <f aca="true" t="shared" si="11" ref="E58:J58">SUM(E59,E68)</f>
        <v>70871.78</v>
      </c>
      <c r="F58" s="161">
        <f t="shared" si="11"/>
        <v>52822.96</v>
      </c>
      <c r="G58" s="161">
        <f t="shared" si="11"/>
        <v>15873</v>
      </c>
      <c r="H58" s="161">
        <f t="shared" si="11"/>
        <v>2175.82</v>
      </c>
      <c r="I58" s="160">
        <f t="shared" si="11"/>
        <v>0</v>
      </c>
      <c r="J58" s="160">
        <f t="shared" si="11"/>
        <v>0</v>
      </c>
      <c r="K58" s="897"/>
      <c r="L58" s="77"/>
    </row>
    <row r="59" spans="1:12" ht="15.75" customHeight="1">
      <c r="A59" s="926">
        <v>1</v>
      </c>
      <c r="B59" s="927" t="s">
        <v>243</v>
      </c>
      <c r="C59" s="933"/>
      <c r="D59" s="917">
        <f>SUM(D61:D62)</f>
        <v>9500</v>
      </c>
      <c r="E59" s="918">
        <f>SUM(E60,E63)</f>
        <v>51371.71</v>
      </c>
      <c r="F59" s="918">
        <f>SUM(F60,F63)</f>
        <v>42079.74</v>
      </c>
      <c r="G59" s="918">
        <f>SUM(G60,G63)</f>
        <v>9291.97</v>
      </c>
      <c r="H59" s="918">
        <f>SUM(H60,H63)</f>
        <v>0</v>
      </c>
      <c r="I59" s="934"/>
      <c r="J59" s="935"/>
      <c r="K59" s="897"/>
      <c r="L59" s="77"/>
    </row>
    <row r="60" spans="1:12" ht="15.75" customHeight="1">
      <c r="A60" s="926"/>
      <c r="B60" s="927" t="s">
        <v>244</v>
      </c>
      <c r="C60" s="933"/>
      <c r="D60" s="917">
        <f>SUM(D61:D62)</f>
        <v>9500</v>
      </c>
      <c r="E60" s="918">
        <f>SUM(E61:E62)</f>
        <v>14261.039999999999</v>
      </c>
      <c r="F60" s="918">
        <f>SUM(F61:F62)</f>
        <v>14134.8</v>
      </c>
      <c r="G60" s="918">
        <f>SUM(G61:G62)</f>
        <v>126.24</v>
      </c>
      <c r="H60" s="918">
        <f>SUM(H61:H62)</f>
        <v>0</v>
      </c>
      <c r="I60" s="934"/>
      <c r="J60" s="935"/>
      <c r="K60" s="897"/>
      <c r="L60" s="77"/>
    </row>
    <row r="61" spans="1:12" ht="15.75" customHeight="1">
      <c r="A61" s="926"/>
      <c r="B61" s="927" t="s">
        <v>245</v>
      </c>
      <c r="C61" s="933"/>
      <c r="D61" s="151">
        <v>8350</v>
      </c>
      <c r="E61" s="154">
        <f>SUM(F61:H61)</f>
        <v>12729.88</v>
      </c>
      <c r="F61" s="154">
        <v>12661.8</v>
      </c>
      <c r="G61" s="154">
        <v>68.08</v>
      </c>
      <c r="H61" s="154"/>
      <c r="I61" s="151"/>
      <c r="J61" s="935"/>
      <c r="K61" s="897"/>
      <c r="L61" s="77"/>
    </row>
    <row r="62" spans="1:12" ht="15.75" customHeight="1">
      <c r="A62" s="926"/>
      <c r="B62" s="927" t="s">
        <v>246</v>
      </c>
      <c r="C62" s="933"/>
      <c r="D62" s="928">
        <v>1150</v>
      </c>
      <c r="E62" s="154">
        <f>SUM(F62:H62)</f>
        <v>1531.16</v>
      </c>
      <c r="F62" s="154">
        <v>1473</v>
      </c>
      <c r="G62" s="154">
        <v>58.16</v>
      </c>
      <c r="H62" s="154"/>
      <c r="I62" s="928"/>
      <c r="J62" s="933"/>
      <c r="K62" s="897"/>
      <c r="L62" s="77"/>
    </row>
    <row r="63" spans="1:12" ht="15.75" customHeight="1">
      <c r="A63" s="926"/>
      <c r="B63" s="927" t="s">
        <v>247</v>
      </c>
      <c r="C63" s="933"/>
      <c r="D63" s="928"/>
      <c r="E63" s="154">
        <f>SUM(E64:E67)</f>
        <v>37110.67</v>
      </c>
      <c r="F63" s="154">
        <f>SUM(F64:F67)</f>
        <v>27944.94</v>
      </c>
      <c r="G63" s="154">
        <f>SUM(G64:G67)</f>
        <v>9165.73</v>
      </c>
      <c r="H63" s="154">
        <f>SUM(H64:H67)</f>
        <v>0</v>
      </c>
      <c r="I63" s="928"/>
      <c r="J63" s="933"/>
      <c r="K63" s="897"/>
      <c r="L63" s="77"/>
    </row>
    <row r="64" spans="1:12" ht="15.75" customHeight="1">
      <c r="A64" s="921"/>
      <c r="B64" s="922" t="s">
        <v>248</v>
      </c>
      <c r="C64" s="935"/>
      <c r="D64" s="151"/>
      <c r="E64" s="154">
        <f>SUM(F64:H64)</f>
        <v>6175.73</v>
      </c>
      <c r="F64" s="154"/>
      <c r="G64" s="154">
        <v>6175.73</v>
      </c>
      <c r="H64" s="154"/>
      <c r="I64" s="151"/>
      <c r="J64" s="935"/>
      <c r="K64" s="897"/>
      <c r="L64" s="77"/>
    </row>
    <row r="65" spans="1:12" ht="15.75" customHeight="1">
      <c r="A65" s="926"/>
      <c r="B65" s="927" t="s">
        <v>249</v>
      </c>
      <c r="C65" s="933"/>
      <c r="D65" s="928"/>
      <c r="E65" s="154">
        <f>SUM(F65:H65)</f>
        <v>1967.6</v>
      </c>
      <c r="F65" s="154">
        <v>1967.6</v>
      </c>
      <c r="G65" s="154"/>
      <c r="H65" s="154"/>
      <c r="I65" s="928"/>
      <c r="J65" s="933"/>
      <c r="K65" s="897"/>
      <c r="L65" s="77"/>
    </row>
    <row r="66" spans="1:12" ht="15.75" customHeight="1">
      <c r="A66" s="926"/>
      <c r="B66" s="927" t="s">
        <v>250</v>
      </c>
      <c r="C66" s="933"/>
      <c r="D66" s="928"/>
      <c r="E66" s="154">
        <f>SUM(F66:H66)</f>
        <v>25977.34</v>
      </c>
      <c r="F66" s="154">
        <v>25977.34</v>
      </c>
      <c r="G66" s="154"/>
      <c r="H66" s="154"/>
      <c r="I66" s="928"/>
      <c r="J66" s="933"/>
      <c r="K66" s="897"/>
      <c r="L66" s="77"/>
    </row>
    <row r="67" spans="1:12" ht="15.75" customHeight="1">
      <c r="A67" s="926"/>
      <c r="B67" s="927" t="s">
        <v>251</v>
      </c>
      <c r="C67" s="933"/>
      <c r="D67" s="928"/>
      <c r="E67" s="154">
        <f>SUM(F67:H67)</f>
        <v>2990</v>
      </c>
      <c r="F67" s="154"/>
      <c r="G67" s="154">
        <v>2990</v>
      </c>
      <c r="H67" s="154"/>
      <c r="I67" s="928"/>
      <c r="J67" s="933"/>
      <c r="K67" s="897"/>
      <c r="L67" s="77"/>
    </row>
    <row r="68" spans="1:12" ht="15.75" customHeight="1">
      <c r="A68" s="921">
        <v>2</v>
      </c>
      <c r="B68" s="922" t="s">
        <v>809</v>
      </c>
      <c r="C68" s="935"/>
      <c r="D68" s="151">
        <f>SUM(D69,D71,D74:D75,D79)</f>
        <v>13000</v>
      </c>
      <c r="E68" s="154">
        <f>SUM(E69,E71,E74:E75,E78:E79)</f>
        <v>19500.07</v>
      </c>
      <c r="F68" s="154">
        <f>SUM(F69,F71,F74:F75,F78:F79)</f>
        <v>10743.22</v>
      </c>
      <c r="G68" s="154">
        <f>SUM(G69,G71,G74:G75,G78:G79)</f>
        <v>6581.03</v>
      </c>
      <c r="H68" s="154">
        <f>SUM(H69,H71,H74:H75,H78:H79)</f>
        <v>2175.82</v>
      </c>
      <c r="I68" s="934"/>
      <c r="J68" s="935"/>
      <c r="K68" s="897"/>
      <c r="L68" s="77"/>
    </row>
    <row r="69" spans="1:12" ht="15.75" customHeight="1">
      <c r="A69" s="921" t="s">
        <v>1325</v>
      </c>
      <c r="B69" s="922" t="s">
        <v>193</v>
      </c>
      <c r="C69" s="168"/>
      <c r="D69" s="168"/>
      <c r="E69" s="154">
        <f>SUM(E70:E70)</f>
        <v>223.3</v>
      </c>
      <c r="F69" s="154"/>
      <c r="G69" s="154"/>
      <c r="H69" s="154">
        <f>SUM(H70:H70)</f>
        <v>223.3</v>
      </c>
      <c r="I69" s="168"/>
      <c r="J69" s="168"/>
      <c r="K69" s="897"/>
      <c r="L69" s="77"/>
    </row>
    <row r="70" spans="1:12" ht="15.75" customHeight="1">
      <c r="A70" s="936"/>
      <c r="B70" s="937" t="s">
        <v>252</v>
      </c>
      <c r="C70" s="938"/>
      <c r="D70" s="933"/>
      <c r="E70" s="918">
        <f>SUM(F70:H70)</f>
        <v>223.3</v>
      </c>
      <c r="F70" s="918"/>
      <c r="G70" s="918"/>
      <c r="H70" s="918">
        <v>223.3</v>
      </c>
      <c r="I70" s="920"/>
      <c r="J70" s="920"/>
      <c r="K70" s="897"/>
      <c r="L70" s="77"/>
    </row>
    <row r="71" spans="1:12" ht="15.75" customHeight="1">
      <c r="A71" s="921" t="s">
        <v>1350</v>
      </c>
      <c r="B71" s="922" t="s">
        <v>253</v>
      </c>
      <c r="C71" s="935"/>
      <c r="D71" s="928">
        <f>SUM(D72:D73)</f>
        <v>13000</v>
      </c>
      <c r="E71" s="918">
        <f>SUM(E72:E73)</f>
        <v>13880.56</v>
      </c>
      <c r="F71" s="918">
        <f>SUM(F72:F73)</f>
        <v>9938.189999999999</v>
      </c>
      <c r="G71" s="918">
        <f>SUM(G72:G73)</f>
        <v>3942.37</v>
      </c>
      <c r="H71" s="918">
        <f>SUM(H72:H73)</f>
        <v>0</v>
      </c>
      <c r="I71" s="939"/>
      <c r="J71" s="939"/>
      <c r="K71" s="897"/>
      <c r="L71" s="77"/>
    </row>
    <row r="72" spans="1:12" ht="15.75" customHeight="1">
      <c r="A72" s="921"/>
      <c r="B72" s="922" t="s">
        <v>254</v>
      </c>
      <c r="C72" s="168"/>
      <c r="D72" s="151">
        <v>6548</v>
      </c>
      <c r="E72" s="918">
        <f>SUM(F72:H72)</f>
        <v>5133.84</v>
      </c>
      <c r="F72" s="918">
        <v>1191.47</v>
      </c>
      <c r="G72" s="154">
        <v>3942.37</v>
      </c>
      <c r="H72" s="918"/>
      <c r="I72" s="168"/>
      <c r="J72" s="168"/>
      <c r="K72" s="897"/>
      <c r="L72" s="77"/>
    </row>
    <row r="73" spans="1:12" ht="15.75" customHeight="1">
      <c r="A73" s="921"/>
      <c r="B73" s="922" t="s">
        <v>255</v>
      </c>
      <c r="C73" s="168"/>
      <c r="D73" s="928">
        <v>6452</v>
      </c>
      <c r="E73" s="918">
        <f>SUM(F73:H73)</f>
        <v>8746.72</v>
      </c>
      <c r="F73" s="918">
        <v>8746.72</v>
      </c>
      <c r="G73" s="154"/>
      <c r="H73" s="918"/>
      <c r="I73" s="168"/>
      <c r="J73" s="168"/>
      <c r="K73" s="897"/>
      <c r="L73" s="77"/>
    </row>
    <row r="74" spans="1:12" ht="15.75" customHeight="1">
      <c r="A74" s="926" t="s">
        <v>1374</v>
      </c>
      <c r="B74" s="927" t="s">
        <v>256</v>
      </c>
      <c r="C74" s="940"/>
      <c r="D74" s="928"/>
      <c r="E74" s="918">
        <f>SUM(F74:H74)</f>
        <v>115.52</v>
      </c>
      <c r="F74" s="918">
        <v>115.52</v>
      </c>
      <c r="G74" s="918"/>
      <c r="H74" s="918"/>
      <c r="I74" s="168"/>
      <c r="J74" s="168"/>
      <c r="K74" s="897"/>
      <c r="L74" s="77"/>
    </row>
    <row r="75" spans="1:12" ht="15.75" customHeight="1">
      <c r="A75" s="926" t="s">
        <v>1424</v>
      </c>
      <c r="B75" s="927" t="s">
        <v>939</v>
      </c>
      <c r="C75" s="940"/>
      <c r="D75" s="940"/>
      <c r="E75" s="918">
        <f>SUM(E76:E77)</f>
        <v>694.42</v>
      </c>
      <c r="F75" s="918">
        <f>SUM(F76:F77)</f>
        <v>689.51</v>
      </c>
      <c r="G75" s="918">
        <f>SUM(G76:G77)</f>
        <v>0</v>
      </c>
      <c r="H75" s="918">
        <f>SUM(H76:H77)</f>
        <v>4.91</v>
      </c>
      <c r="I75" s="168"/>
      <c r="J75" s="168"/>
      <c r="K75" s="897"/>
      <c r="L75" s="77"/>
    </row>
    <row r="76" spans="1:12" ht="15.75" customHeight="1">
      <c r="A76" s="926"/>
      <c r="B76" s="927" t="s">
        <v>227</v>
      </c>
      <c r="C76" s="940"/>
      <c r="D76" s="940"/>
      <c r="E76" s="918">
        <f>SUM(F76:H76)</f>
        <v>4.91</v>
      </c>
      <c r="F76" s="918"/>
      <c r="G76" s="918"/>
      <c r="H76" s="918">
        <v>4.91</v>
      </c>
      <c r="I76" s="168"/>
      <c r="J76" s="168"/>
      <c r="K76" s="897"/>
      <c r="L76" s="77"/>
    </row>
    <row r="77" spans="1:12" ht="15.75" customHeight="1">
      <c r="A77" s="926"/>
      <c r="B77" s="927" t="s">
        <v>257</v>
      </c>
      <c r="C77" s="940"/>
      <c r="D77" s="940"/>
      <c r="E77" s="918">
        <f aca="true" t="shared" si="12" ref="E77:E83">SUM(F77:H77)</f>
        <v>689.51</v>
      </c>
      <c r="F77" s="918">
        <v>689.51</v>
      </c>
      <c r="G77" s="918"/>
      <c r="H77" s="918"/>
      <c r="I77" s="168"/>
      <c r="J77" s="168"/>
      <c r="K77" s="897"/>
      <c r="L77" s="77"/>
    </row>
    <row r="78" spans="1:12" ht="15.75" customHeight="1">
      <c r="A78" s="926" t="s">
        <v>1502</v>
      </c>
      <c r="B78" s="927" t="s">
        <v>258</v>
      </c>
      <c r="C78" s="940"/>
      <c r="D78" s="940"/>
      <c r="E78" s="918">
        <f t="shared" si="12"/>
        <v>1780</v>
      </c>
      <c r="F78" s="918"/>
      <c r="G78" s="918">
        <v>1780</v>
      </c>
      <c r="H78" s="918"/>
      <c r="I78" s="168"/>
      <c r="J78" s="168"/>
      <c r="K78" s="897"/>
      <c r="L78" s="77"/>
    </row>
    <row r="79" spans="1:12" ht="15.75" customHeight="1">
      <c r="A79" s="926" t="s">
        <v>1514</v>
      </c>
      <c r="B79" s="927" t="s">
        <v>259</v>
      </c>
      <c r="C79" s="940"/>
      <c r="D79" s="940"/>
      <c r="E79" s="918">
        <f t="shared" si="12"/>
        <v>2806.2700000000004</v>
      </c>
      <c r="F79" s="918"/>
      <c r="G79" s="918">
        <f>SUM(G80:G83)</f>
        <v>858.6600000000001</v>
      </c>
      <c r="H79" s="918">
        <f>SUM(H80:H83)</f>
        <v>1947.6100000000001</v>
      </c>
      <c r="I79" s="168"/>
      <c r="J79" s="168"/>
      <c r="K79" s="897"/>
      <c r="L79" s="77"/>
    </row>
    <row r="80" spans="1:12" ht="15.75" customHeight="1">
      <c r="A80" s="926"/>
      <c r="B80" s="927" t="s">
        <v>260</v>
      </c>
      <c r="C80" s="940"/>
      <c r="D80" s="940"/>
      <c r="E80" s="918">
        <f t="shared" si="12"/>
        <v>61.34</v>
      </c>
      <c r="F80" s="918"/>
      <c r="G80" s="918">
        <v>61.34</v>
      </c>
      <c r="H80" s="918"/>
      <c r="I80" s="168"/>
      <c r="J80" s="168"/>
      <c r="K80" s="897"/>
      <c r="L80" s="77"/>
    </row>
    <row r="81" spans="1:12" ht="15.75" customHeight="1">
      <c r="A81" s="926"/>
      <c r="B81" s="927" t="s">
        <v>261</v>
      </c>
      <c r="C81" s="940"/>
      <c r="D81" s="940"/>
      <c r="E81" s="918">
        <f t="shared" si="12"/>
        <v>1608.14</v>
      </c>
      <c r="F81" s="918"/>
      <c r="G81" s="918"/>
      <c r="H81" s="918">
        <v>1608.14</v>
      </c>
      <c r="I81" s="168"/>
      <c r="J81" s="168"/>
      <c r="K81" s="897"/>
      <c r="L81" s="77"/>
    </row>
    <row r="82" spans="1:12" ht="15.75" customHeight="1">
      <c r="A82" s="926"/>
      <c r="B82" s="927" t="s">
        <v>220</v>
      </c>
      <c r="C82" s="940"/>
      <c r="D82" s="940"/>
      <c r="E82" s="918">
        <f t="shared" si="12"/>
        <v>485.1</v>
      </c>
      <c r="F82" s="918"/>
      <c r="G82" s="918">
        <v>485.1</v>
      </c>
      <c r="H82" s="918"/>
      <c r="I82" s="168"/>
      <c r="J82" s="168"/>
      <c r="K82" s="897"/>
      <c r="L82" s="77"/>
    </row>
    <row r="83" spans="1:12" ht="15.75" customHeight="1">
      <c r="A83" s="926"/>
      <c r="B83" s="927" t="s">
        <v>262</v>
      </c>
      <c r="C83" s="940"/>
      <c r="D83" s="940"/>
      <c r="E83" s="918">
        <f t="shared" si="12"/>
        <v>651.69</v>
      </c>
      <c r="F83" s="918"/>
      <c r="G83" s="918">
        <v>312.22</v>
      </c>
      <c r="H83" s="918">
        <v>339.47</v>
      </c>
      <c r="I83" s="168"/>
      <c r="J83" s="168"/>
      <c r="K83" s="897"/>
      <c r="L83" s="77"/>
    </row>
    <row r="84" spans="1:12" ht="15.75" customHeight="1">
      <c r="A84" s="931" t="s">
        <v>1637</v>
      </c>
      <c r="B84" s="932" t="s">
        <v>564</v>
      </c>
      <c r="C84" s="171"/>
      <c r="D84" s="160"/>
      <c r="E84" s="161">
        <f>SUM(E85,E88,E92)</f>
        <v>114032.08</v>
      </c>
      <c r="F84" s="161">
        <f>SUM(F85,F88,F92)</f>
        <v>100365.68</v>
      </c>
      <c r="G84" s="161">
        <f>SUM(G85,G88,G92)</f>
        <v>13512.25</v>
      </c>
      <c r="H84" s="161">
        <f>SUM(H85,H88,H92)</f>
        <v>154.15</v>
      </c>
      <c r="I84" s="158"/>
      <c r="J84" s="935"/>
      <c r="K84" s="897"/>
      <c r="L84" s="77"/>
    </row>
    <row r="85" spans="1:12" ht="15.75" customHeight="1">
      <c r="A85" s="921">
        <v>1</v>
      </c>
      <c r="B85" s="922" t="s">
        <v>263</v>
      </c>
      <c r="C85" s="168"/>
      <c r="D85" s="151"/>
      <c r="E85" s="154">
        <f>SUM(E86:E87)</f>
        <v>110753.33</v>
      </c>
      <c r="F85" s="154">
        <f>SUM(F86:F87)</f>
        <v>100365.68</v>
      </c>
      <c r="G85" s="154">
        <f>SUM(G86:G87)</f>
        <v>10379.25</v>
      </c>
      <c r="H85" s="154">
        <f>SUM(H86:H87)</f>
        <v>8.4</v>
      </c>
      <c r="I85" s="168"/>
      <c r="J85" s="168"/>
      <c r="K85" s="897"/>
      <c r="L85" s="77"/>
    </row>
    <row r="86" spans="1:12" ht="33" customHeight="1">
      <c r="A86" s="921"/>
      <c r="B86" s="922" t="s">
        <v>264</v>
      </c>
      <c r="C86" s="168"/>
      <c r="D86" s="151"/>
      <c r="E86" s="154">
        <f>SUM(F86:H86)</f>
        <v>96899.67</v>
      </c>
      <c r="F86" s="154">
        <v>96899.67</v>
      </c>
      <c r="G86" s="154"/>
      <c r="H86" s="154"/>
      <c r="I86" s="168"/>
      <c r="J86" s="168"/>
      <c r="K86" s="897"/>
      <c r="L86" s="77"/>
    </row>
    <row r="87" spans="1:12" ht="15.75" customHeight="1">
      <c r="A87" s="921"/>
      <c r="B87" s="922" t="s">
        <v>265</v>
      </c>
      <c r="C87" s="168"/>
      <c r="D87" s="151"/>
      <c r="E87" s="154">
        <f>SUM(F87:H87)</f>
        <v>13853.66</v>
      </c>
      <c r="F87" s="154">
        <v>3466.01</v>
      </c>
      <c r="G87" s="154">
        <v>10379.25</v>
      </c>
      <c r="H87" s="154">
        <v>8.4</v>
      </c>
      <c r="I87" s="168"/>
      <c r="J87" s="168"/>
      <c r="K87" s="897"/>
      <c r="L87" s="77"/>
    </row>
    <row r="88" spans="1:12" ht="15.75" customHeight="1">
      <c r="A88" s="921">
        <v>2</v>
      </c>
      <c r="B88" s="941" t="s">
        <v>266</v>
      </c>
      <c r="C88" s="942"/>
      <c r="D88" s="942"/>
      <c r="E88" s="943">
        <f>SUM(E89:E91)</f>
        <v>3133</v>
      </c>
      <c r="F88" s="943"/>
      <c r="G88" s="943">
        <f>SUM(G89:G91)</f>
        <v>3133</v>
      </c>
      <c r="H88" s="943"/>
      <c r="I88" s="935"/>
      <c r="J88" s="168"/>
      <c r="K88" s="897"/>
      <c r="L88" s="77"/>
    </row>
    <row r="89" spans="1:12" ht="15.75" customHeight="1">
      <c r="A89" s="921"/>
      <c r="B89" s="941" t="s">
        <v>267</v>
      </c>
      <c r="C89" s="942"/>
      <c r="D89" s="942"/>
      <c r="E89" s="943">
        <f>SUM(F89:H89)</f>
        <v>279.89</v>
      </c>
      <c r="F89" s="943"/>
      <c r="G89" s="944">
        <v>279.89</v>
      </c>
      <c r="H89" s="943"/>
      <c r="I89" s="935"/>
      <c r="J89" s="168"/>
      <c r="K89" s="897"/>
      <c r="L89" s="77"/>
    </row>
    <row r="90" spans="1:12" ht="15.75" customHeight="1">
      <c r="A90" s="921"/>
      <c r="B90" s="941" t="s">
        <v>268</v>
      </c>
      <c r="C90" s="942"/>
      <c r="D90" s="942"/>
      <c r="E90" s="943">
        <f>SUM(F90:H90)</f>
        <v>497.37</v>
      </c>
      <c r="F90" s="943"/>
      <c r="G90" s="944">
        <v>497.37</v>
      </c>
      <c r="H90" s="943"/>
      <c r="I90" s="935"/>
      <c r="J90" s="168"/>
      <c r="K90" s="897"/>
      <c r="L90" s="77"/>
    </row>
    <row r="91" spans="1:12" ht="15.75" customHeight="1">
      <c r="A91" s="921"/>
      <c r="B91" s="941" t="s">
        <v>269</v>
      </c>
      <c r="C91" s="942"/>
      <c r="D91" s="942"/>
      <c r="E91" s="943">
        <f>SUM(F91:H91)</f>
        <v>2355.74</v>
      </c>
      <c r="F91" s="943"/>
      <c r="G91" s="944">
        <v>2355.74</v>
      </c>
      <c r="H91" s="943"/>
      <c r="I91" s="935"/>
      <c r="J91" s="168"/>
      <c r="K91" s="897"/>
      <c r="L91" s="77"/>
    </row>
    <row r="92" spans="1:12" ht="15.75" customHeight="1">
      <c r="A92" s="921">
        <v>3</v>
      </c>
      <c r="B92" s="941" t="s">
        <v>270</v>
      </c>
      <c r="C92" s="942"/>
      <c r="D92" s="942"/>
      <c r="E92" s="943">
        <f>SUM(E93:E94)</f>
        <v>145.75</v>
      </c>
      <c r="F92" s="943">
        <f>SUM(F93:F94)</f>
        <v>0</v>
      </c>
      <c r="G92" s="943">
        <f>SUM(G93:G94)</f>
        <v>0</v>
      </c>
      <c r="H92" s="943">
        <f>SUM(H93:H94)</f>
        <v>145.75</v>
      </c>
      <c r="I92" s="935"/>
      <c r="J92" s="168"/>
      <c r="K92" s="897"/>
      <c r="L92" s="77"/>
    </row>
    <row r="93" spans="1:12" ht="15.75" customHeight="1">
      <c r="A93" s="921"/>
      <c r="B93" s="941" t="s">
        <v>271</v>
      </c>
      <c r="C93" s="942"/>
      <c r="D93" s="942"/>
      <c r="E93" s="943">
        <f>SUM(F93:H93)</f>
        <v>19.75</v>
      </c>
      <c r="F93" s="943"/>
      <c r="G93" s="944"/>
      <c r="H93" s="943">
        <v>19.75</v>
      </c>
      <c r="I93" s="935"/>
      <c r="J93" s="168"/>
      <c r="K93" s="897"/>
      <c r="L93" s="77"/>
    </row>
    <row r="94" spans="1:12" ht="15.75" customHeight="1">
      <c r="A94" s="921"/>
      <c r="B94" s="941" t="s">
        <v>272</v>
      </c>
      <c r="C94" s="942"/>
      <c r="D94" s="942"/>
      <c r="E94" s="943">
        <f>SUM(F94:H94)</f>
        <v>126</v>
      </c>
      <c r="F94" s="943"/>
      <c r="G94" s="944"/>
      <c r="H94" s="943">
        <v>126</v>
      </c>
      <c r="I94" s="935"/>
      <c r="J94" s="168"/>
      <c r="K94" s="897"/>
      <c r="L94" s="77"/>
    </row>
    <row r="95" spans="1:12" ht="15.75" customHeight="1">
      <c r="A95" s="921"/>
      <c r="B95" s="941"/>
      <c r="C95" s="90"/>
      <c r="D95" s="942"/>
      <c r="E95" s="943"/>
      <c r="F95" s="943"/>
      <c r="G95" s="943"/>
      <c r="H95" s="943"/>
      <c r="I95" s="935"/>
      <c r="J95" s="168"/>
      <c r="K95" s="897"/>
      <c r="L95" s="77"/>
    </row>
    <row r="96" spans="1:12" ht="15.75" customHeight="1">
      <c r="A96" s="1259"/>
      <c r="B96" s="1259"/>
      <c r="C96" s="945"/>
      <c r="D96" s="945"/>
      <c r="E96" s="945"/>
      <c r="F96" s="1259"/>
      <c r="G96" s="1259"/>
      <c r="H96" s="1259"/>
      <c r="I96" s="1259"/>
      <c r="J96" s="1259"/>
      <c r="K96" s="897"/>
      <c r="L96" s="77"/>
    </row>
    <row r="97" spans="1:12" ht="15.75" customHeight="1">
      <c r="A97" s="1043"/>
      <c r="B97" s="1043"/>
      <c r="C97" s="798"/>
      <c r="D97" s="798"/>
      <c r="E97" s="798"/>
      <c r="F97" s="1043"/>
      <c r="G97" s="1043"/>
      <c r="H97" s="1043"/>
      <c r="I97" s="1043"/>
      <c r="J97" s="1043"/>
      <c r="K97" s="897"/>
      <c r="L97" s="77"/>
    </row>
    <row r="98" spans="1:12" ht="15.75" customHeight="1">
      <c r="A98" s="946"/>
      <c r="B98" s="947"/>
      <c r="C98" s="946"/>
      <c r="D98" s="946"/>
      <c r="E98" s="946"/>
      <c r="F98" s="1258"/>
      <c r="G98" s="1258"/>
      <c r="H98" s="1258"/>
      <c r="I98" s="1258"/>
      <c r="J98" s="1258"/>
      <c r="K98" s="897"/>
      <c r="L98" s="77"/>
    </row>
    <row r="99" spans="1:12" ht="15.75" customHeight="1">
      <c r="A99" s="897"/>
      <c r="B99" s="948"/>
      <c r="C99" s="897"/>
      <c r="D99" s="897"/>
      <c r="E99" s="897"/>
      <c r="F99" s="897"/>
      <c r="G99" s="897"/>
      <c r="H99" s="897"/>
      <c r="I99" s="897"/>
      <c r="J99" s="897"/>
      <c r="K99" s="897"/>
      <c r="L99" s="77"/>
    </row>
    <row r="100" spans="1:12" ht="18.75">
      <c r="A100" s="897"/>
      <c r="B100" s="948"/>
      <c r="C100" s="897"/>
      <c r="D100" s="897"/>
      <c r="E100" s="897"/>
      <c r="F100" s="897"/>
      <c r="G100" s="897"/>
      <c r="H100" s="897"/>
      <c r="I100" s="897"/>
      <c r="J100" s="897"/>
      <c r="K100" s="897"/>
      <c r="L100" s="77"/>
    </row>
    <row r="101" spans="1:12" ht="16.5" customHeight="1">
      <c r="A101" s="897"/>
      <c r="B101" s="948"/>
      <c r="C101" s="897"/>
      <c r="D101" s="897"/>
      <c r="E101" s="897"/>
      <c r="F101" s="897"/>
      <c r="G101" s="897"/>
      <c r="H101" s="897"/>
      <c r="I101" s="897"/>
      <c r="J101" s="897"/>
      <c r="K101" s="897"/>
      <c r="L101" s="77"/>
    </row>
    <row r="102" spans="1:12" ht="18.75">
      <c r="A102" s="897"/>
      <c r="B102" s="948"/>
      <c r="C102" s="897"/>
      <c r="D102" s="897"/>
      <c r="E102" s="897"/>
      <c r="F102" s="897"/>
      <c r="G102" s="897"/>
      <c r="H102" s="897"/>
      <c r="I102" s="897"/>
      <c r="J102" s="897"/>
      <c r="K102" s="897"/>
      <c r="L102" s="77"/>
    </row>
    <row r="103" spans="1:12" ht="18.75">
      <c r="A103" s="77"/>
      <c r="B103" s="949"/>
      <c r="C103" s="77"/>
      <c r="D103" s="77"/>
      <c r="E103" s="77"/>
      <c r="F103" s="77"/>
      <c r="G103" s="77"/>
      <c r="H103" s="77"/>
      <c r="I103" s="77"/>
      <c r="J103" s="77"/>
      <c r="K103" s="77"/>
      <c r="L103" s="77"/>
    </row>
  </sheetData>
  <sheetProtection/>
  <mergeCells count="12">
    <mergeCell ref="E4:H5"/>
    <mergeCell ref="I4:J4"/>
    <mergeCell ref="F98:J98"/>
    <mergeCell ref="A96:B96"/>
    <mergeCell ref="F96:J96"/>
    <mergeCell ref="A97:B97"/>
    <mergeCell ref="F97:J97"/>
    <mergeCell ref="A2:J2"/>
    <mergeCell ref="E3:J3"/>
    <mergeCell ref="A4:A5"/>
    <mergeCell ref="B4:B5"/>
    <mergeCell ref="C4:D4"/>
  </mergeCells>
  <printOptions horizontalCentered="1"/>
  <pageMargins left="0.25" right="0.25" top="0.5" bottom="0.25" header="0.5" footer="0.5"/>
  <pageSetup horizontalDpi="600" verticalDpi="600" orientation="portrait" paperSize="9" scale="85" r:id="rId1"/>
</worksheet>
</file>

<file path=xl/worksheets/sheet2.xml><?xml version="1.0" encoding="utf-8"?>
<worksheet xmlns="http://schemas.openxmlformats.org/spreadsheetml/2006/main" xmlns:r="http://schemas.openxmlformats.org/officeDocument/2006/relationships">
  <dimension ref="A1:H52"/>
  <sheetViews>
    <sheetView zoomScalePageLayoutView="0" workbookViewId="0" topLeftCell="A1">
      <selection activeCell="B15" sqref="B15"/>
    </sheetView>
  </sheetViews>
  <sheetFormatPr defaultColWidth="9.140625" defaultRowHeight="12.75"/>
  <cols>
    <col min="1" max="1" width="4.140625" style="150" customWidth="1"/>
    <col min="2" max="2" width="61.28125" style="77" customWidth="1"/>
    <col min="3" max="3" width="12.140625" style="76" customWidth="1"/>
    <col min="4" max="4" width="13.8515625" style="77" customWidth="1"/>
    <col min="5" max="5" width="8.57421875" style="77" customWidth="1"/>
    <col min="6" max="6" width="9.140625" style="77" customWidth="1"/>
    <col min="7" max="7" width="21.57421875" style="77" customWidth="1"/>
    <col min="8" max="16384" width="9.140625" style="77" customWidth="1"/>
  </cols>
  <sheetData>
    <row r="1" spans="1:5" ht="15.75" customHeight="1">
      <c r="A1" s="138" t="s">
        <v>799</v>
      </c>
      <c r="B1" s="139"/>
      <c r="C1" s="1061" t="s">
        <v>1072</v>
      </c>
      <c r="D1" s="1061"/>
      <c r="E1" s="1061"/>
    </row>
    <row r="2" spans="1:5" ht="21.75" customHeight="1">
      <c r="A2" s="1062" t="s">
        <v>1109</v>
      </c>
      <c r="B2" s="1062"/>
      <c r="C2" s="1062"/>
      <c r="D2" s="1062"/>
      <c r="E2" s="1062"/>
    </row>
    <row r="3" spans="1:5" ht="27.75" customHeight="1">
      <c r="A3" s="140"/>
      <c r="B3" s="140"/>
      <c r="C3" s="1063" t="s">
        <v>802</v>
      </c>
      <c r="D3" s="1063"/>
      <c r="E3" s="1063"/>
    </row>
    <row r="4" spans="1:7" ht="15.75" customHeight="1">
      <c r="A4" s="1048" t="s">
        <v>1038</v>
      </c>
      <c r="B4" s="1048" t="s">
        <v>1073</v>
      </c>
      <c r="C4" s="1048" t="s">
        <v>1074</v>
      </c>
      <c r="D4" s="1048" t="s">
        <v>1075</v>
      </c>
      <c r="E4" s="1048" t="s">
        <v>1076</v>
      </c>
      <c r="G4" s="141"/>
    </row>
    <row r="5" spans="1:7" ht="15.75" customHeight="1">
      <c r="A5" s="1049"/>
      <c r="B5" s="1049"/>
      <c r="C5" s="1064"/>
      <c r="D5" s="1049"/>
      <c r="E5" s="1049"/>
      <c r="G5" s="142"/>
    </row>
    <row r="6" spans="1:7" ht="15" customHeight="1">
      <c r="A6" s="162" t="s">
        <v>1077</v>
      </c>
      <c r="B6" s="163" t="s">
        <v>1078</v>
      </c>
      <c r="C6" s="164"/>
      <c r="D6" s="164"/>
      <c r="E6" s="164"/>
      <c r="G6" s="142"/>
    </row>
    <row r="7" spans="1:7" ht="15" customHeight="1">
      <c r="A7" s="165" t="s">
        <v>952</v>
      </c>
      <c r="B7" s="166" t="s">
        <v>1079</v>
      </c>
      <c r="C7" s="157">
        <f>SUM(C8,C11,C15:C20)</f>
        <v>6330355</v>
      </c>
      <c r="D7" s="158">
        <f>SUM(D8,D11,D15:D20)</f>
        <v>8331850.22</v>
      </c>
      <c r="E7" s="159">
        <f>SUM(D7/C7)</f>
        <v>1.316174246152072</v>
      </c>
      <c r="G7" s="141"/>
    </row>
    <row r="8" spans="1:7" ht="15" customHeight="1">
      <c r="A8" s="167">
        <v>1</v>
      </c>
      <c r="B8" s="168" t="s">
        <v>1080</v>
      </c>
      <c r="C8" s="151">
        <f>SUM(C9:C10)</f>
        <v>379451</v>
      </c>
      <c r="D8" s="154">
        <f>SUM(D9:D10)</f>
        <v>431393.13</v>
      </c>
      <c r="E8" s="155">
        <f>SUM(E9:E10)</f>
        <v>1.202117366029467</v>
      </c>
      <c r="G8" s="142"/>
    </row>
    <row r="9" spans="1:7" ht="15" customHeight="1">
      <c r="A9" s="167"/>
      <c r="B9" s="168" t="s">
        <v>1081</v>
      </c>
      <c r="C9" s="152">
        <v>167033</v>
      </c>
      <c r="D9" s="156">
        <v>200793.27</v>
      </c>
      <c r="E9" s="155">
        <f>SUM(D9/C9)</f>
        <v>1.202117366029467</v>
      </c>
      <c r="G9" s="142"/>
    </row>
    <row r="10" spans="1:7" ht="15" customHeight="1">
      <c r="A10" s="167"/>
      <c r="B10" s="168" t="s">
        <v>1082</v>
      </c>
      <c r="C10" s="153">
        <v>212418</v>
      </c>
      <c r="D10" s="156">
        <v>230599.86</v>
      </c>
      <c r="E10" s="155"/>
      <c r="G10" s="142"/>
    </row>
    <row r="11" spans="1:7" ht="15" customHeight="1">
      <c r="A11" s="167">
        <v>2</v>
      </c>
      <c r="B11" s="168" t="s">
        <v>1083</v>
      </c>
      <c r="C11" s="151">
        <f>SUM(C12:C14)</f>
        <v>5932324</v>
      </c>
      <c r="D11" s="154">
        <f>SUM(D12:D14)</f>
        <v>6780568.029999999</v>
      </c>
      <c r="E11" s="155">
        <f>SUM(D11/C11)</f>
        <v>1.1429868007883588</v>
      </c>
      <c r="G11" s="143"/>
    </row>
    <row r="12" spans="1:7" ht="15" customHeight="1">
      <c r="A12" s="167"/>
      <c r="B12" s="168" t="s">
        <v>1084</v>
      </c>
      <c r="C12" s="153">
        <v>2612446</v>
      </c>
      <c r="D12" s="154">
        <v>2612446</v>
      </c>
      <c r="E12" s="155">
        <f>SUM(D12/C12)</f>
        <v>1</v>
      </c>
      <c r="G12" s="142"/>
    </row>
    <row r="13" spans="1:7" ht="15" customHeight="1">
      <c r="A13" s="167"/>
      <c r="B13" s="168" t="s">
        <v>1085</v>
      </c>
      <c r="C13" s="153">
        <v>2021791</v>
      </c>
      <c r="D13" s="156">
        <v>2870035.03</v>
      </c>
      <c r="E13" s="155">
        <f>SUM(D13/C13)</f>
        <v>1.4195507992665908</v>
      </c>
      <c r="G13" s="142"/>
    </row>
    <row r="14" spans="1:7" ht="15" customHeight="1">
      <c r="A14" s="167"/>
      <c r="B14" s="169" t="s">
        <v>1086</v>
      </c>
      <c r="C14" s="153">
        <v>1298087</v>
      </c>
      <c r="D14" s="156">
        <v>1298087</v>
      </c>
      <c r="E14" s="155"/>
      <c r="G14" s="142"/>
    </row>
    <row r="15" spans="1:7" ht="15" customHeight="1">
      <c r="A15" s="167">
        <v>3</v>
      </c>
      <c r="B15" s="168" t="s">
        <v>1087</v>
      </c>
      <c r="C15" s="153"/>
      <c r="D15" s="154">
        <v>968544.44</v>
      </c>
      <c r="E15" s="155"/>
      <c r="G15" s="142"/>
    </row>
    <row r="16" spans="1:7" ht="15" customHeight="1">
      <c r="A16" s="167">
        <v>4</v>
      </c>
      <c r="B16" s="168" t="s">
        <v>1088</v>
      </c>
      <c r="C16" s="151"/>
      <c r="D16" s="154">
        <v>8.97</v>
      </c>
      <c r="E16" s="151"/>
      <c r="G16" s="142"/>
    </row>
    <row r="17" spans="1:7" ht="15" customHeight="1">
      <c r="A17" s="167">
        <v>5</v>
      </c>
      <c r="B17" s="168" t="s">
        <v>1089</v>
      </c>
      <c r="C17" s="151"/>
      <c r="D17" s="154">
        <v>107458</v>
      </c>
      <c r="E17" s="151"/>
      <c r="G17" s="142"/>
    </row>
    <row r="18" spans="1:7" ht="15" customHeight="1">
      <c r="A18" s="167">
        <v>6</v>
      </c>
      <c r="B18" s="168" t="s">
        <v>1090</v>
      </c>
      <c r="C18" s="151"/>
      <c r="D18" s="154">
        <v>3133</v>
      </c>
      <c r="E18" s="151"/>
      <c r="G18" s="142"/>
    </row>
    <row r="19" spans="1:7" ht="15" customHeight="1">
      <c r="A19" s="167">
        <v>7</v>
      </c>
      <c r="B19" s="168" t="s">
        <v>1091</v>
      </c>
      <c r="C19" s="151"/>
      <c r="D19" s="154">
        <v>10219.48</v>
      </c>
      <c r="E19" s="151"/>
      <c r="G19" s="142"/>
    </row>
    <row r="20" spans="1:7" ht="15" customHeight="1">
      <c r="A20" s="167">
        <v>8</v>
      </c>
      <c r="B20" s="168" t="s">
        <v>1092</v>
      </c>
      <c r="C20" s="151">
        <v>18580</v>
      </c>
      <c r="D20" s="154">
        <v>30525.17</v>
      </c>
      <c r="E20" s="155">
        <f>SUM(D20/C20)</f>
        <v>1.642904736275565</v>
      </c>
      <c r="G20" s="142"/>
    </row>
    <row r="21" spans="1:7" ht="15" customHeight="1">
      <c r="A21" s="165" t="s">
        <v>1012</v>
      </c>
      <c r="B21" s="166" t="s">
        <v>1093</v>
      </c>
      <c r="C21" s="157">
        <f>SUM(C22:C24,C28:C33)</f>
        <v>6330354</v>
      </c>
      <c r="D21" s="158">
        <f>SUM(D22:D24,D28:D33)</f>
        <v>8331829.859999999</v>
      </c>
      <c r="E21" s="159">
        <f>SUM(D21/C21)</f>
        <v>1.316171237817032</v>
      </c>
      <c r="G21" s="143">
        <f>C7-C21</f>
        <v>1</v>
      </c>
    </row>
    <row r="22" spans="1:7" ht="15" customHeight="1">
      <c r="A22" s="1067">
        <v>1</v>
      </c>
      <c r="B22" s="1069" t="s">
        <v>1094</v>
      </c>
      <c r="C22" s="1071">
        <v>3080614</v>
      </c>
      <c r="D22" s="1073">
        <v>2721756.9</v>
      </c>
      <c r="E22" s="1065">
        <f>SUM(D22/C22)</f>
        <v>0.8835111766680278</v>
      </c>
      <c r="G22" s="144"/>
    </row>
    <row r="23" spans="1:7" ht="15" customHeight="1">
      <c r="A23" s="1068"/>
      <c r="B23" s="1070"/>
      <c r="C23" s="1072"/>
      <c r="D23" s="1074"/>
      <c r="E23" s="1066"/>
      <c r="G23" s="142"/>
    </row>
    <row r="24" spans="1:7" ht="15" customHeight="1">
      <c r="A24" s="167">
        <v>2</v>
      </c>
      <c r="B24" s="168" t="s">
        <v>1095</v>
      </c>
      <c r="C24" s="151">
        <f>SUM(C25:C27)</f>
        <v>3084019</v>
      </c>
      <c r="D24" s="154">
        <f>SUM(D25:D27)</f>
        <v>4078966.23</v>
      </c>
      <c r="E24" s="155">
        <f>SUM(D24/C24)</f>
        <v>1.3226138457642447</v>
      </c>
      <c r="G24" s="144"/>
    </row>
    <row r="25" spans="1:7" ht="15" customHeight="1">
      <c r="A25" s="167"/>
      <c r="B25" s="168" t="s">
        <v>1084</v>
      </c>
      <c r="C25" s="151">
        <v>1943595</v>
      </c>
      <c r="D25" s="154">
        <v>1946595</v>
      </c>
      <c r="E25" s="155">
        <f>SUM(D25/C25)</f>
        <v>1.0015435314455943</v>
      </c>
      <c r="G25" s="142"/>
    </row>
    <row r="26" spans="1:7" ht="15" customHeight="1">
      <c r="A26" s="167"/>
      <c r="B26" s="168" t="s">
        <v>1085</v>
      </c>
      <c r="C26" s="151">
        <v>94466</v>
      </c>
      <c r="D26" s="154">
        <v>1086413.23</v>
      </c>
      <c r="E26" s="155">
        <f>SUM(D26/C26)</f>
        <v>11.500574068977198</v>
      </c>
      <c r="G26" s="142"/>
    </row>
    <row r="27" spans="1:7" ht="15" customHeight="1">
      <c r="A27" s="167"/>
      <c r="B27" s="169" t="s">
        <v>1086</v>
      </c>
      <c r="C27" s="151">
        <v>1045958</v>
      </c>
      <c r="D27" s="154">
        <v>1045958</v>
      </c>
      <c r="E27" s="155"/>
      <c r="G27" s="142"/>
    </row>
    <row r="28" spans="1:7" ht="15" customHeight="1">
      <c r="A28" s="167">
        <v>3</v>
      </c>
      <c r="B28" s="168" t="s">
        <v>1096</v>
      </c>
      <c r="C28" s="151">
        <v>85354</v>
      </c>
      <c r="D28" s="154">
        <v>105854.3</v>
      </c>
      <c r="E28" s="155"/>
      <c r="G28" s="142"/>
    </row>
    <row r="29" spans="1:7" ht="15" customHeight="1">
      <c r="A29" s="167">
        <v>4</v>
      </c>
      <c r="B29" s="168" t="s">
        <v>1097</v>
      </c>
      <c r="C29" s="151"/>
      <c r="D29" s="154">
        <v>1271063.79</v>
      </c>
      <c r="E29" s="155"/>
      <c r="G29" s="142"/>
    </row>
    <row r="30" spans="1:7" ht="15" customHeight="1">
      <c r="A30" s="167">
        <v>5</v>
      </c>
      <c r="B30" s="168" t="s">
        <v>1098</v>
      </c>
      <c r="C30" s="151">
        <v>1000</v>
      </c>
      <c r="D30" s="154">
        <v>1000</v>
      </c>
      <c r="E30" s="155"/>
      <c r="G30" s="142"/>
    </row>
    <row r="31" spans="1:7" ht="15" customHeight="1">
      <c r="A31" s="167">
        <v>6</v>
      </c>
      <c r="B31" s="168" t="s">
        <v>1111</v>
      </c>
      <c r="C31" s="151"/>
      <c r="D31" s="154">
        <v>100365.68</v>
      </c>
      <c r="E31" s="155"/>
      <c r="G31" s="142"/>
    </row>
    <row r="32" spans="1:7" ht="15" customHeight="1">
      <c r="A32" s="167">
        <v>7</v>
      </c>
      <c r="B32" s="168" t="s">
        <v>1110</v>
      </c>
      <c r="C32" s="151">
        <v>60787</v>
      </c>
      <c r="D32" s="154"/>
      <c r="E32" s="155"/>
      <c r="G32" s="142"/>
    </row>
    <row r="33" spans="1:7" ht="15" customHeight="1">
      <c r="A33" s="167">
        <v>8</v>
      </c>
      <c r="B33" s="168" t="s">
        <v>1099</v>
      </c>
      <c r="C33" s="151">
        <v>18580</v>
      </c>
      <c r="D33" s="154">
        <v>52822.96</v>
      </c>
      <c r="E33" s="155"/>
      <c r="G33" s="142"/>
    </row>
    <row r="34" spans="1:7" ht="15" customHeight="1">
      <c r="A34" s="170" t="s">
        <v>1100</v>
      </c>
      <c r="B34" s="171" t="s">
        <v>1101</v>
      </c>
      <c r="C34" s="160"/>
      <c r="D34" s="161"/>
      <c r="E34" s="160"/>
      <c r="G34" s="142"/>
    </row>
    <row r="35" spans="1:7" ht="15" customHeight="1">
      <c r="A35" s="165" t="s">
        <v>952</v>
      </c>
      <c r="B35" s="166" t="s">
        <v>1102</v>
      </c>
      <c r="C35" s="157">
        <f>SUM(C36,C39,C43:C47)</f>
        <v>3405089</v>
      </c>
      <c r="D35" s="158">
        <f>SUM(D36,D39,D43:D47)</f>
        <v>4811537.06</v>
      </c>
      <c r="E35" s="159">
        <f aca="true" t="shared" si="0" ref="E35:E40">SUM(D35/C35)</f>
        <v>1.4130429659841488</v>
      </c>
      <c r="G35" s="145"/>
    </row>
    <row r="36" spans="1:7" ht="15" customHeight="1">
      <c r="A36" s="167">
        <v>1</v>
      </c>
      <c r="B36" s="168" t="s">
        <v>1103</v>
      </c>
      <c r="C36" s="151">
        <f>SUM(C37:C38)</f>
        <v>317150</v>
      </c>
      <c r="D36" s="154">
        <f>SUM(D37:D38)</f>
        <v>346298.76</v>
      </c>
      <c r="E36" s="155">
        <f t="shared" si="0"/>
        <v>1.0919084344947185</v>
      </c>
      <c r="G36" s="145"/>
    </row>
    <row r="37" spans="1:7" ht="15" customHeight="1">
      <c r="A37" s="167"/>
      <c r="B37" s="168" t="s">
        <v>1104</v>
      </c>
      <c r="C37" s="151">
        <v>89380</v>
      </c>
      <c r="D37" s="154">
        <v>128605.87</v>
      </c>
      <c r="E37" s="155">
        <f t="shared" si="0"/>
        <v>1.4388663011859475</v>
      </c>
      <c r="G37" s="145"/>
    </row>
    <row r="38" spans="1:7" ht="15" customHeight="1">
      <c r="A38" s="167"/>
      <c r="B38" s="168" t="s">
        <v>1105</v>
      </c>
      <c r="C38" s="151">
        <v>227770</v>
      </c>
      <c r="D38" s="154">
        <v>217692.89</v>
      </c>
      <c r="E38" s="155">
        <f t="shared" si="0"/>
        <v>0.9557575185494139</v>
      </c>
      <c r="G38" s="145"/>
    </row>
    <row r="39" spans="1:7" ht="15" customHeight="1">
      <c r="A39" s="167">
        <v>2</v>
      </c>
      <c r="B39" s="168" t="s">
        <v>1106</v>
      </c>
      <c r="C39" s="151">
        <f>SUM(C40:C42)</f>
        <v>3084019</v>
      </c>
      <c r="D39" s="154">
        <f>SUM(D40:D42)</f>
        <v>4078966.2199999997</v>
      </c>
      <c r="E39" s="155">
        <f t="shared" si="0"/>
        <v>1.3226138425217224</v>
      </c>
      <c r="G39" s="145"/>
    </row>
    <row r="40" spans="1:7" ht="15" customHeight="1">
      <c r="A40" s="167"/>
      <c r="B40" s="168" t="s">
        <v>1084</v>
      </c>
      <c r="C40" s="151">
        <v>1943595</v>
      </c>
      <c r="D40" s="154">
        <v>1946595</v>
      </c>
      <c r="E40" s="155">
        <f t="shared" si="0"/>
        <v>1.0015435314455943</v>
      </c>
      <c r="G40" s="145"/>
    </row>
    <row r="41" spans="1:7" ht="15" customHeight="1">
      <c r="A41" s="167"/>
      <c r="B41" s="168" t="s">
        <v>1085</v>
      </c>
      <c r="C41" s="151">
        <v>94466</v>
      </c>
      <c r="D41" s="154">
        <v>1086413.22</v>
      </c>
      <c r="E41" s="155"/>
      <c r="G41" s="142"/>
    </row>
    <row r="42" spans="1:7" ht="15" customHeight="1">
      <c r="A42" s="167"/>
      <c r="B42" s="169" t="s">
        <v>1086</v>
      </c>
      <c r="C42" s="151">
        <v>1045958</v>
      </c>
      <c r="D42" s="154">
        <v>1045958</v>
      </c>
      <c r="E42" s="155"/>
      <c r="G42" s="142"/>
    </row>
    <row r="43" spans="1:7" ht="15" customHeight="1">
      <c r="A43" s="167">
        <v>3</v>
      </c>
      <c r="B43" s="168" t="s">
        <v>1087</v>
      </c>
      <c r="C43" s="151"/>
      <c r="D43" s="154">
        <v>340311.17</v>
      </c>
      <c r="E43" s="155"/>
      <c r="G43" s="142"/>
    </row>
    <row r="44" spans="1:7" ht="15" customHeight="1">
      <c r="A44" s="167">
        <v>4</v>
      </c>
      <c r="B44" s="168" t="s">
        <v>1088</v>
      </c>
      <c r="C44" s="151"/>
      <c r="D44" s="154">
        <v>35841.38</v>
      </c>
      <c r="E44" s="155"/>
      <c r="G44" s="142"/>
    </row>
    <row r="45" spans="1:7" ht="15" customHeight="1">
      <c r="A45" s="167">
        <v>5</v>
      </c>
      <c r="B45" s="168" t="s">
        <v>1091</v>
      </c>
      <c r="C45" s="151"/>
      <c r="D45" s="154">
        <v>1042.15</v>
      </c>
      <c r="E45" s="155"/>
      <c r="G45" s="142"/>
    </row>
    <row r="46" spans="1:7" ht="15" customHeight="1">
      <c r="A46" s="167">
        <v>6</v>
      </c>
      <c r="B46" s="168" t="s">
        <v>1090</v>
      </c>
      <c r="C46" s="151"/>
      <c r="D46" s="154">
        <v>145.75</v>
      </c>
      <c r="E46" s="155"/>
      <c r="G46" s="142"/>
    </row>
    <row r="47" spans="1:7" ht="15" customHeight="1">
      <c r="A47" s="167">
        <v>7</v>
      </c>
      <c r="B47" s="168" t="s">
        <v>1107</v>
      </c>
      <c r="C47" s="151">
        <v>3920</v>
      </c>
      <c r="D47" s="154">
        <v>8931.63</v>
      </c>
      <c r="E47" s="155"/>
      <c r="G47" s="142"/>
    </row>
    <row r="48" spans="1:7" ht="15" customHeight="1">
      <c r="A48" s="165" t="s">
        <v>1012</v>
      </c>
      <c r="B48" s="166" t="s">
        <v>1108</v>
      </c>
      <c r="C48" s="157">
        <v>3405089</v>
      </c>
      <c r="D48" s="158">
        <v>4763927.04</v>
      </c>
      <c r="E48" s="159">
        <f>SUM(D48/C48)</f>
        <v>1.3990609467182795</v>
      </c>
      <c r="G48" s="142"/>
    </row>
    <row r="49" spans="1:7" ht="15" customHeight="1">
      <c r="A49" s="172"/>
      <c r="B49" s="173"/>
      <c r="C49" s="174"/>
      <c r="D49" s="175"/>
      <c r="E49" s="175"/>
      <c r="G49" s="142"/>
    </row>
    <row r="50" spans="1:5" ht="7.5" customHeight="1">
      <c r="A50" s="146"/>
      <c r="B50" s="147"/>
      <c r="C50" s="148"/>
      <c r="D50" s="149"/>
      <c r="E50" s="149"/>
    </row>
    <row r="51" spans="2:8" ht="18.75">
      <c r="B51" s="1041"/>
      <c r="C51" s="1041"/>
      <c r="D51" s="1041"/>
      <c r="E51" s="1041"/>
      <c r="F51" s="1041"/>
      <c r="G51" s="1041"/>
      <c r="H51" s="1041"/>
    </row>
    <row r="52" spans="2:8" ht="18.75">
      <c r="B52" s="1042"/>
      <c r="C52" s="1042"/>
      <c r="D52" s="1042"/>
      <c r="E52" s="1042"/>
      <c r="F52" s="1042"/>
      <c r="G52" s="1042"/>
      <c r="H52" s="1042"/>
    </row>
  </sheetData>
  <sheetProtection/>
  <mergeCells count="15">
    <mergeCell ref="E22:E23"/>
    <mergeCell ref="B51:H51"/>
    <mergeCell ref="B52:H52"/>
    <mergeCell ref="A22:A23"/>
    <mergeCell ref="B22:B23"/>
    <mergeCell ref="C22:C23"/>
    <mergeCell ref="D22:D23"/>
    <mergeCell ref="C1:E1"/>
    <mergeCell ref="A2:E2"/>
    <mergeCell ref="C3:E3"/>
    <mergeCell ref="A4:A5"/>
    <mergeCell ref="B4:B5"/>
    <mergeCell ref="C4:C5"/>
    <mergeCell ref="D4:D5"/>
    <mergeCell ref="E4:E5"/>
  </mergeCells>
  <printOptions horizontalCentered="1"/>
  <pageMargins left="0.25" right="0.25" top="0.5" bottom="0.25"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Q65"/>
  <sheetViews>
    <sheetView zoomScalePageLayoutView="0" workbookViewId="0" topLeftCell="A1">
      <selection activeCell="K63" sqref="K63"/>
    </sheetView>
  </sheetViews>
  <sheetFormatPr defaultColWidth="9.140625" defaultRowHeight="18" customHeight="1"/>
  <cols>
    <col min="1" max="1" width="34.8515625" style="965" customWidth="1"/>
    <col min="2" max="2" width="9.421875" style="1035" bestFit="1" customWidth="1"/>
    <col min="3" max="3" width="7.7109375" style="1035" customWidth="1"/>
    <col min="4" max="4" width="6.421875" style="1035" customWidth="1"/>
    <col min="5" max="5" width="8.57421875" style="1035" customWidth="1"/>
    <col min="6" max="6" width="7.8515625" style="1035" customWidth="1"/>
    <col min="7" max="7" width="10.421875" style="965" bestFit="1" customWidth="1"/>
    <col min="8" max="8" width="9.7109375" style="965" customWidth="1"/>
    <col min="9" max="9" width="6.57421875" style="965" customWidth="1"/>
    <col min="10" max="10" width="9.8515625" style="965" customWidth="1"/>
    <col min="11" max="11" width="10.140625" style="965" customWidth="1"/>
    <col min="12" max="12" width="6.57421875" style="965" customWidth="1"/>
    <col min="13" max="14" width="6.140625" style="965" customWidth="1"/>
    <col min="15" max="15" width="7.7109375" style="965" customWidth="1"/>
    <col min="16" max="16" width="6.7109375" style="965" customWidth="1"/>
    <col min="17" max="16384" width="9.140625" style="965" customWidth="1"/>
  </cols>
  <sheetData>
    <row r="1" spans="1:17" ht="18" customHeight="1">
      <c r="A1" s="965" t="s">
        <v>1433</v>
      </c>
      <c r="B1" s="966"/>
      <c r="C1" s="966"/>
      <c r="D1" s="966"/>
      <c r="E1" s="966"/>
      <c r="F1" s="966"/>
      <c r="G1" s="967"/>
      <c r="H1" s="967"/>
      <c r="I1" s="967"/>
      <c r="J1" s="967"/>
      <c r="K1" s="967"/>
      <c r="L1" s="968"/>
      <c r="M1" s="1075" t="s">
        <v>1434</v>
      </c>
      <c r="N1" s="1075"/>
      <c r="O1" s="1075"/>
      <c r="P1" s="1075"/>
      <c r="Q1" s="969"/>
    </row>
    <row r="2" spans="1:16" s="970" customFormat="1" ht="19.5" customHeight="1">
      <c r="A2" s="1076" t="s">
        <v>1435</v>
      </c>
      <c r="B2" s="1076"/>
      <c r="C2" s="1076"/>
      <c r="D2" s="1076"/>
      <c r="E2" s="1076"/>
      <c r="F2" s="1076"/>
      <c r="G2" s="1076"/>
      <c r="H2" s="1076"/>
      <c r="I2" s="1076"/>
      <c r="J2" s="1076"/>
      <c r="K2" s="1076"/>
      <c r="L2" s="1076"/>
      <c r="M2" s="1076"/>
      <c r="N2" s="1076"/>
      <c r="O2" s="1076"/>
      <c r="P2" s="1076"/>
    </row>
    <row r="3" spans="1:17" ht="18" customHeight="1">
      <c r="A3" s="971"/>
      <c r="B3" s="972"/>
      <c r="C3" s="972"/>
      <c r="D3" s="972"/>
      <c r="E3" s="972"/>
      <c r="F3" s="972"/>
      <c r="G3" s="973"/>
      <c r="H3" s="973"/>
      <c r="I3" s="973"/>
      <c r="J3" s="974" t="s">
        <v>1436</v>
      </c>
      <c r="K3" s="974"/>
      <c r="L3" s="974" t="s">
        <v>1112</v>
      </c>
      <c r="M3" s="1077" t="s">
        <v>1437</v>
      </c>
      <c r="N3" s="1077"/>
      <c r="O3" s="1077"/>
      <c r="P3" s="1077"/>
      <c r="Q3" s="800"/>
    </row>
    <row r="4" spans="1:17" ht="18" customHeight="1">
      <c r="A4" s="1078" t="s">
        <v>828</v>
      </c>
      <c r="B4" s="1081" t="s">
        <v>805</v>
      </c>
      <c r="C4" s="1082"/>
      <c r="D4" s="1082"/>
      <c r="E4" s="1082"/>
      <c r="F4" s="1083"/>
      <c r="G4" s="1081" t="s">
        <v>806</v>
      </c>
      <c r="H4" s="1082"/>
      <c r="I4" s="1082"/>
      <c r="J4" s="1082"/>
      <c r="K4" s="1083"/>
      <c r="L4" s="1081" t="s">
        <v>1066</v>
      </c>
      <c r="M4" s="1082"/>
      <c r="N4" s="1082"/>
      <c r="O4" s="1082"/>
      <c r="P4" s="1083"/>
      <c r="Q4" s="969"/>
    </row>
    <row r="5" spans="1:17" ht="18" customHeight="1">
      <c r="A5" s="1079"/>
      <c r="B5" s="1084" t="s">
        <v>1438</v>
      </c>
      <c r="C5" s="1086" t="s">
        <v>1439</v>
      </c>
      <c r="D5" s="1086" t="s">
        <v>1440</v>
      </c>
      <c r="E5" s="1086" t="s">
        <v>1441</v>
      </c>
      <c r="F5" s="1088" t="s">
        <v>1442</v>
      </c>
      <c r="G5" s="1084" t="s">
        <v>1438</v>
      </c>
      <c r="H5" s="1086" t="s">
        <v>1439</v>
      </c>
      <c r="I5" s="1086" t="s">
        <v>1440</v>
      </c>
      <c r="J5" s="1086" t="s">
        <v>1441</v>
      </c>
      <c r="K5" s="1088" t="s">
        <v>1442</v>
      </c>
      <c r="L5" s="1084" t="s">
        <v>1438</v>
      </c>
      <c r="M5" s="1086" t="s">
        <v>1439</v>
      </c>
      <c r="N5" s="1086" t="s">
        <v>1440</v>
      </c>
      <c r="O5" s="1086" t="s">
        <v>1441</v>
      </c>
      <c r="P5" s="1088" t="s">
        <v>1442</v>
      </c>
      <c r="Q5" s="969"/>
    </row>
    <row r="6" spans="1:17" ht="21" customHeight="1">
      <c r="A6" s="1080"/>
      <c r="B6" s="1085"/>
      <c r="C6" s="1087"/>
      <c r="D6" s="1087"/>
      <c r="E6" s="1080"/>
      <c r="F6" s="1089"/>
      <c r="G6" s="1090"/>
      <c r="H6" s="1080"/>
      <c r="I6" s="1080"/>
      <c r="J6" s="1080"/>
      <c r="K6" s="1091"/>
      <c r="L6" s="1090"/>
      <c r="M6" s="1080"/>
      <c r="N6" s="1080"/>
      <c r="O6" s="1080"/>
      <c r="P6" s="1091"/>
      <c r="Q6" s="969"/>
    </row>
    <row r="7" spans="1:17" ht="15.75" customHeight="1">
      <c r="A7" s="975" t="s">
        <v>1443</v>
      </c>
      <c r="B7" s="976">
        <f>SUM(B8,B24,B28)</f>
        <v>749500</v>
      </c>
      <c r="C7" s="976">
        <f aca="true" t="shared" si="0" ref="C7:K7">SUM(C8,C24,C28)</f>
        <v>211000</v>
      </c>
      <c r="D7" s="976">
        <f t="shared" si="0"/>
        <v>300</v>
      </c>
      <c r="E7" s="976">
        <f t="shared" si="0"/>
        <v>325500</v>
      </c>
      <c r="F7" s="976">
        <f t="shared" si="0"/>
        <v>212700</v>
      </c>
      <c r="G7" s="977">
        <f t="shared" si="0"/>
        <v>863256.08</v>
      </c>
      <c r="H7" s="977">
        <f t="shared" si="0"/>
        <v>200743.1</v>
      </c>
      <c r="I7" s="977">
        <f t="shared" si="0"/>
        <v>130.24</v>
      </c>
      <c r="J7" s="977">
        <f t="shared" si="0"/>
        <v>292772.37</v>
      </c>
      <c r="K7" s="977">
        <f t="shared" si="0"/>
        <v>295665.58</v>
      </c>
      <c r="L7" s="978">
        <f aca="true" t="shared" si="1" ref="L7:N8">SUM(G7/B7)</f>
        <v>1.1517759573048698</v>
      </c>
      <c r="M7" s="978">
        <f t="shared" si="1"/>
        <v>0.9513890995260664</v>
      </c>
      <c r="N7" s="978">
        <f t="shared" si="1"/>
        <v>0.43413333333333337</v>
      </c>
      <c r="O7" s="978">
        <f>SUM(O8,O24,O28)</f>
        <v>2.42</v>
      </c>
      <c r="P7" s="978">
        <f>SUM(K7/F7)</f>
        <v>1.3900591443347439</v>
      </c>
      <c r="Q7" s="969"/>
    </row>
    <row r="8" spans="1:17" ht="15.75" customHeight="1">
      <c r="A8" s="979" t="s">
        <v>1444</v>
      </c>
      <c r="B8" s="980">
        <f>SUM(B9,B12:B23)</f>
        <v>637300</v>
      </c>
      <c r="C8" s="980">
        <f>SUM(C9,C12:C23)</f>
        <v>211000</v>
      </c>
      <c r="D8" s="980">
        <f>SUM(D9,D12:D23)</f>
        <v>300</v>
      </c>
      <c r="E8" s="980">
        <f>SUM(E9,E12:E23)</f>
        <v>325500</v>
      </c>
      <c r="F8" s="980">
        <f>SUM(F9,F12:F23)</f>
        <v>100500</v>
      </c>
      <c r="G8" s="981">
        <f>SUM(G9,G12:G17,G19:G23)</f>
        <v>694551.64</v>
      </c>
      <c r="H8" s="981">
        <f>SUM(H9,H12:H17,H19,H23)</f>
        <v>200743.1</v>
      </c>
      <c r="I8" s="981">
        <f>SUM(I9,I12:I17,I19,I23)</f>
        <v>130.24</v>
      </c>
      <c r="J8" s="981">
        <f>SUM(J9,J12:J17,J19,J23)</f>
        <v>292772.37</v>
      </c>
      <c r="K8" s="981">
        <f>SUM(K9,K12:K17,K19,K23)</f>
        <v>126961.14000000001</v>
      </c>
      <c r="L8" s="978">
        <f t="shared" si="1"/>
        <v>1.0898346775458967</v>
      </c>
      <c r="M8" s="978">
        <f t="shared" si="1"/>
        <v>0.9513890995260664</v>
      </c>
      <c r="N8" s="978">
        <f t="shared" si="1"/>
        <v>0.43413333333333337</v>
      </c>
      <c r="O8" s="982">
        <v>1.24</v>
      </c>
      <c r="P8" s="978">
        <f>SUM(K8/F8)</f>
        <v>1.2632949253731345</v>
      </c>
      <c r="Q8" s="983"/>
    </row>
    <row r="9" spans="1:17" ht="15.75" customHeight="1">
      <c r="A9" s="984" t="s">
        <v>1445</v>
      </c>
      <c r="B9" s="985">
        <f aca="true" t="shared" si="2" ref="B9:G9">SUM(B10:B11)</f>
        <v>391157</v>
      </c>
      <c r="C9" s="985">
        <f t="shared" si="2"/>
        <v>80960</v>
      </c>
      <c r="D9" s="985">
        <f t="shared" si="2"/>
        <v>297</v>
      </c>
      <c r="E9" s="985">
        <f t="shared" si="2"/>
        <v>290400</v>
      </c>
      <c r="F9" s="985">
        <f t="shared" si="2"/>
        <v>19500</v>
      </c>
      <c r="G9" s="156">
        <f t="shared" si="2"/>
        <v>352846.43</v>
      </c>
      <c r="H9" s="156">
        <f>SUM(H10:H11)</f>
        <v>71352.01</v>
      </c>
      <c r="I9" s="156">
        <f>SUM(I10:I11)</f>
        <v>130.24</v>
      </c>
      <c r="J9" s="156">
        <f>SUM(J10:J11)</f>
        <v>251222.09</v>
      </c>
      <c r="K9" s="985">
        <f>SUM(K10:K11)</f>
        <v>30142.09</v>
      </c>
      <c r="L9" s="986">
        <f aca="true" t="shared" si="3" ref="L9:L29">G9/B9</f>
        <v>0.9020583295198603</v>
      </c>
      <c r="M9" s="986">
        <f>H9/C9</f>
        <v>0.8813242341897233</v>
      </c>
      <c r="N9" s="987">
        <f>SUM(I9/D9)</f>
        <v>0.43851851851851853</v>
      </c>
      <c r="O9" s="988">
        <v>1.29</v>
      </c>
      <c r="P9" s="986">
        <f>SUM(K9/F9)</f>
        <v>1.5457482051282052</v>
      </c>
      <c r="Q9" s="983"/>
    </row>
    <row r="10" spans="1:17" s="995" customFormat="1" ht="15.75" customHeight="1">
      <c r="A10" s="989" t="s">
        <v>1446</v>
      </c>
      <c r="B10" s="990">
        <f>SUM(C10:F10)</f>
        <v>371657</v>
      </c>
      <c r="C10" s="990">
        <f>77060+3900</f>
        <v>80960</v>
      </c>
      <c r="D10" s="990">
        <v>297</v>
      </c>
      <c r="E10" s="990">
        <v>290400</v>
      </c>
      <c r="F10" s="990"/>
      <c r="G10" s="991">
        <f aca="true" t="shared" si="4" ref="G10:G23">SUM(H10:K10)</f>
        <v>322704.33999999997</v>
      </c>
      <c r="H10" s="991">
        <f>64402.7+6949.31</f>
        <v>71352.01</v>
      </c>
      <c r="I10" s="991">
        <v>130.24</v>
      </c>
      <c r="J10" s="991">
        <v>251222.09</v>
      </c>
      <c r="K10" s="990"/>
      <c r="L10" s="992">
        <f t="shared" si="3"/>
        <v>0.8682853814135075</v>
      </c>
      <c r="M10" s="992">
        <f>H10/C10</f>
        <v>0.8813242341897233</v>
      </c>
      <c r="N10" s="987">
        <f>SUM(I10/D10)</f>
        <v>0.43851851851851853</v>
      </c>
      <c r="O10" s="993">
        <f>J10/E10</f>
        <v>0.8650898415977961</v>
      </c>
      <c r="P10" s="992"/>
      <c r="Q10" s="994"/>
    </row>
    <row r="11" spans="1:17" s="995" customFormat="1" ht="15.75" customHeight="1">
      <c r="A11" s="989" t="s">
        <v>1447</v>
      </c>
      <c r="B11" s="990">
        <f>SUM(C11:F11)</f>
        <v>19500</v>
      </c>
      <c r="C11" s="990"/>
      <c r="D11" s="990"/>
      <c r="E11" s="990"/>
      <c r="F11" s="990">
        <v>19500</v>
      </c>
      <c r="G11" s="991">
        <f t="shared" si="4"/>
        <v>30142.09</v>
      </c>
      <c r="H11" s="991"/>
      <c r="I11" s="991"/>
      <c r="J11" s="991"/>
      <c r="K11" s="991">
        <v>30142.09</v>
      </c>
      <c r="L11" s="992">
        <f t="shared" si="3"/>
        <v>1.5457482051282052</v>
      </c>
      <c r="M11" s="996"/>
      <c r="N11" s="987"/>
      <c r="O11" s="993"/>
      <c r="P11" s="992">
        <f>SUM(K11/F11)</f>
        <v>1.5457482051282052</v>
      </c>
      <c r="Q11" s="994"/>
    </row>
    <row r="12" spans="1:17" ht="15.75" customHeight="1">
      <c r="A12" s="984" t="s">
        <v>1448</v>
      </c>
      <c r="B12" s="985">
        <f aca="true" t="shared" si="5" ref="B12:B23">SUM(C12:F12)</f>
        <v>5527</v>
      </c>
      <c r="C12" s="985">
        <f>30+5397</f>
        <v>5427</v>
      </c>
      <c r="D12" s="985"/>
      <c r="E12" s="985">
        <v>100</v>
      </c>
      <c r="F12" s="985"/>
      <c r="G12" s="156">
        <f t="shared" si="4"/>
        <v>9273.039999999999</v>
      </c>
      <c r="H12" s="156">
        <v>9125.66</v>
      </c>
      <c r="I12" s="156"/>
      <c r="J12" s="156">
        <v>147.38</v>
      </c>
      <c r="K12" s="156"/>
      <c r="L12" s="986">
        <f t="shared" si="3"/>
        <v>1.677770942645196</v>
      </c>
      <c r="M12" s="986">
        <f>H12/C12</f>
        <v>1.681529390086604</v>
      </c>
      <c r="N12" s="985"/>
      <c r="O12" s="988">
        <f>J12/E12</f>
        <v>1.4738</v>
      </c>
      <c r="P12" s="986"/>
      <c r="Q12" s="969"/>
    </row>
    <row r="13" spans="1:17" ht="15.75" customHeight="1">
      <c r="A13" s="984" t="s">
        <v>1449</v>
      </c>
      <c r="B13" s="985">
        <f t="shared" si="5"/>
        <v>2500</v>
      </c>
      <c r="C13" s="985"/>
      <c r="D13" s="985"/>
      <c r="E13" s="985"/>
      <c r="F13" s="985">
        <v>2500</v>
      </c>
      <c r="G13" s="156">
        <f t="shared" si="4"/>
        <v>1916.05</v>
      </c>
      <c r="H13" s="156"/>
      <c r="I13" s="156"/>
      <c r="J13" s="156"/>
      <c r="K13" s="156">
        <v>1916.05</v>
      </c>
      <c r="L13" s="986">
        <f>SUM(G13/B13)</f>
        <v>0.76642</v>
      </c>
      <c r="M13" s="986"/>
      <c r="N13" s="986"/>
      <c r="O13" s="986"/>
      <c r="P13" s="986">
        <f>SUM(K13/F13)</f>
        <v>0.76642</v>
      </c>
      <c r="Q13" s="969"/>
    </row>
    <row r="14" spans="1:17" ht="15.75" customHeight="1">
      <c r="A14" s="984" t="s">
        <v>1450</v>
      </c>
      <c r="B14" s="985">
        <f t="shared" si="5"/>
        <v>16900</v>
      </c>
      <c r="C14" s="985">
        <f>7200+200</f>
        <v>7400</v>
      </c>
      <c r="D14" s="985"/>
      <c r="E14" s="985">
        <v>9500</v>
      </c>
      <c r="F14" s="997"/>
      <c r="G14" s="156">
        <f t="shared" si="4"/>
        <v>20440</v>
      </c>
      <c r="H14" s="156">
        <f>8151.16+222.5</f>
        <v>8373.66</v>
      </c>
      <c r="I14" s="156"/>
      <c r="J14" s="156">
        <v>12066.34</v>
      </c>
      <c r="K14" s="985"/>
      <c r="L14" s="986">
        <f t="shared" si="3"/>
        <v>1.2094674556213019</v>
      </c>
      <c r="M14" s="986">
        <f>H14/C14</f>
        <v>1.1315756756756756</v>
      </c>
      <c r="N14" s="985"/>
      <c r="O14" s="987">
        <f>J14/E14</f>
        <v>1.270141052631579</v>
      </c>
      <c r="P14" s="986"/>
      <c r="Q14" s="969"/>
    </row>
    <row r="15" spans="1:17" ht="15.75" customHeight="1">
      <c r="A15" s="984" t="s">
        <v>1451</v>
      </c>
      <c r="B15" s="985">
        <f t="shared" si="5"/>
        <v>136710</v>
      </c>
      <c r="C15" s="985">
        <v>116710</v>
      </c>
      <c r="D15" s="985"/>
      <c r="E15" s="985">
        <v>20000</v>
      </c>
      <c r="F15" s="985"/>
      <c r="G15" s="156">
        <f t="shared" si="4"/>
        <v>129214.75</v>
      </c>
      <c r="H15" s="156">
        <v>110840.61</v>
      </c>
      <c r="I15" s="156"/>
      <c r="J15" s="156">
        <v>18374.14</v>
      </c>
      <c r="K15" s="985"/>
      <c r="L15" s="986">
        <f t="shared" si="3"/>
        <v>0.945174091141833</v>
      </c>
      <c r="M15" s="986">
        <f>SUM(H15/C15)</f>
        <v>0.9497096221403479</v>
      </c>
      <c r="N15" s="985"/>
      <c r="O15" s="987">
        <f>SUM(J15/E15)</f>
        <v>0.9187069999999999</v>
      </c>
      <c r="P15" s="986"/>
      <c r="Q15" s="969"/>
    </row>
    <row r="16" spans="1:17" ht="15.75" customHeight="1">
      <c r="A16" s="984" t="s">
        <v>1452</v>
      </c>
      <c r="B16" s="985">
        <f t="shared" si="5"/>
        <v>2706</v>
      </c>
      <c r="C16" s="985">
        <f>200+3</f>
        <v>203</v>
      </c>
      <c r="D16" s="985">
        <v>3</v>
      </c>
      <c r="E16" s="985">
        <v>2500</v>
      </c>
      <c r="F16" s="985"/>
      <c r="G16" s="156">
        <f t="shared" si="4"/>
        <v>2889.11</v>
      </c>
      <c r="H16" s="156">
        <f>201.5</f>
        <v>201.5</v>
      </c>
      <c r="I16" s="156"/>
      <c r="J16" s="156">
        <v>2687.61</v>
      </c>
      <c r="K16" s="985"/>
      <c r="L16" s="986">
        <f t="shared" si="3"/>
        <v>1.0676681448632668</v>
      </c>
      <c r="M16" s="986">
        <f>SUM(H16/C16)</f>
        <v>0.9926108374384236</v>
      </c>
      <c r="N16" s="987"/>
      <c r="O16" s="987">
        <f>SUM(J16/E16)</f>
        <v>1.075044</v>
      </c>
      <c r="P16" s="986"/>
      <c r="Q16" s="969"/>
    </row>
    <row r="17" spans="1:17" ht="15.75" customHeight="1">
      <c r="A17" s="984" t="s">
        <v>1453</v>
      </c>
      <c r="B17" s="985">
        <f>SUM(C17:F17)</f>
        <v>3300</v>
      </c>
      <c r="C17" s="985">
        <v>300</v>
      </c>
      <c r="D17" s="985"/>
      <c r="E17" s="985">
        <v>3000</v>
      </c>
      <c r="F17" s="985"/>
      <c r="G17" s="156">
        <f>SUM(H17:J17)</f>
        <v>9124.47</v>
      </c>
      <c r="H17" s="156">
        <v>849.66</v>
      </c>
      <c r="I17" s="156"/>
      <c r="J17" s="156">
        <v>8274.81</v>
      </c>
      <c r="K17" s="985"/>
      <c r="L17" s="986">
        <f t="shared" si="3"/>
        <v>2.764990909090909</v>
      </c>
      <c r="M17" s="986">
        <f>SUM(H17/C17)</f>
        <v>2.8322</v>
      </c>
      <c r="N17" s="985"/>
      <c r="O17" s="987">
        <f>SUM(J17/E17)</f>
        <v>2.75827</v>
      </c>
      <c r="P17" s="986"/>
      <c r="Q17" s="969"/>
    </row>
    <row r="18" spans="1:17" ht="15.75" customHeight="1">
      <c r="A18" s="989" t="s">
        <v>1454</v>
      </c>
      <c r="B18" s="990"/>
      <c r="C18" s="990"/>
      <c r="D18" s="990"/>
      <c r="E18" s="990"/>
      <c r="F18" s="990"/>
      <c r="G18" s="991">
        <f>SUM(H18:J18)</f>
        <v>66.54</v>
      </c>
      <c r="H18" s="991">
        <v>66.54</v>
      </c>
      <c r="I18" s="991"/>
      <c r="J18" s="991"/>
      <c r="K18" s="990"/>
      <c r="L18" s="986"/>
      <c r="M18" s="986"/>
      <c r="N18" s="985"/>
      <c r="O18" s="987"/>
      <c r="P18" s="986"/>
      <c r="Q18" s="969"/>
    </row>
    <row r="19" spans="1:17" ht="15.75" customHeight="1">
      <c r="A19" s="984" t="s">
        <v>1455</v>
      </c>
      <c r="B19" s="985">
        <f t="shared" si="5"/>
        <v>17000</v>
      </c>
      <c r="C19" s="985"/>
      <c r="D19" s="985"/>
      <c r="E19" s="985"/>
      <c r="F19" s="985">
        <v>17000</v>
      </c>
      <c r="G19" s="156">
        <f t="shared" si="4"/>
        <v>37348.62</v>
      </c>
      <c r="H19" s="156"/>
      <c r="I19" s="156"/>
      <c r="J19" s="156"/>
      <c r="K19" s="156">
        <v>37348.62</v>
      </c>
      <c r="L19" s="986">
        <f t="shared" si="3"/>
        <v>2.196977647058824</v>
      </c>
      <c r="M19" s="986"/>
      <c r="N19" s="985"/>
      <c r="O19" s="987"/>
      <c r="P19" s="986">
        <f>SUM(K19/F19)</f>
        <v>2.196977647058824</v>
      </c>
      <c r="Q19" s="969"/>
    </row>
    <row r="20" spans="1:17" ht="15.75" customHeight="1">
      <c r="A20" s="984" t="s">
        <v>1456</v>
      </c>
      <c r="B20" s="985"/>
      <c r="C20" s="985"/>
      <c r="D20" s="985"/>
      <c r="E20" s="985"/>
      <c r="F20" s="985"/>
      <c r="G20" s="156">
        <f t="shared" si="4"/>
        <v>19.92</v>
      </c>
      <c r="H20" s="156"/>
      <c r="I20" s="156"/>
      <c r="J20" s="156"/>
      <c r="K20" s="156">
        <v>19.92</v>
      </c>
      <c r="L20" s="986"/>
      <c r="M20" s="986"/>
      <c r="N20" s="985"/>
      <c r="O20" s="987"/>
      <c r="P20" s="986"/>
      <c r="Q20" s="969"/>
    </row>
    <row r="21" spans="1:17" ht="15.75" customHeight="1">
      <c r="A21" s="984" t="s">
        <v>1457</v>
      </c>
      <c r="B21" s="985">
        <f t="shared" si="5"/>
        <v>35000</v>
      </c>
      <c r="C21" s="985"/>
      <c r="D21" s="985"/>
      <c r="E21" s="985"/>
      <c r="F21" s="985">
        <v>35000</v>
      </c>
      <c r="G21" s="156">
        <f t="shared" si="4"/>
        <v>72289.81</v>
      </c>
      <c r="H21" s="156"/>
      <c r="I21" s="156"/>
      <c r="J21" s="156"/>
      <c r="K21" s="156">
        <v>72289.81</v>
      </c>
      <c r="L21" s="986">
        <f t="shared" si="3"/>
        <v>2.0654231428571426</v>
      </c>
      <c r="M21" s="986"/>
      <c r="N21" s="985"/>
      <c r="O21" s="987"/>
      <c r="P21" s="986">
        <f>K21/F21</f>
        <v>2.0654231428571426</v>
      </c>
      <c r="Q21" s="969"/>
    </row>
    <row r="22" spans="1:17" ht="15.75" customHeight="1">
      <c r="A22" s="984" t="s">
        <v>1458</v>
      </c>
      <c r="B22" s="985">
        <f t="shared" si="5"/>
        <v>1500</v>
      </c>
      <c r="C22" s="985"/>
      <c r="D22" s="985"/>
      <c r="E22" s="985"/>
      <c r="F22" s="985">
        <v>1500</v>
      </c>
      <c r="G22" s="156">
        <f t="shared" si="4"/>
        <v>1635.06</v>
      </c>
      <c r="H22" s="156"/>
      <c r="I22" s="156"/>
      <c r="J22" s="156"/>
      <c r="K22" s="156">
        <v>1635.06</v>
      </c>
      <c r="L22" s="986">
        <f t="shared" si="3"/>
        <v>1.09004</v>
      </c>
      <c r="M22" s="986"/>
      <c r="N22" s="985"/>
      <c r="O22" s="987"/>
      <c r="P22" s="986">
        <f>K22/F22</f>
        <v>1.09004</v>
      </c>
      <c r="Q22" s="969"/>
    </row>
    <row r="23" spans="1:17" ht="15.75" customHeight="1">
      <c r="A23" s="984" t="s">
        <v>1459</v>
      </c>
      <c r="B23" s="985">
        <f t="shared" si="5"/>
        <v>25000</v>
      </c>
      <c r="C23" s="985"/>
      <c r="D23" s="985"/>
      <c r="E23" s="985"/>
      <c r="F23" s="985">
        <v>25000</v>
      </c>
      <c r="G23" s="156">
        <f t="shared" si="4"/>
        <v>57554.38</v>
      </c>
      <c r="H23" s="156"/>
      <c r="I23" s="156"/>
      <c r="J23" s="156"/>
      <c r="K23" s="156">
        <v>57554.38</v>
      </c>
      <c r="L23" s="986">
        <f t="shared" si="3"/>
        <v>2.3021751999999998</v>
      </c>
      <c r="M23" s="986"/>
      <c r="N23" s="985"/>
      <c r="O23" s="987"/>
      <c r="P23" s="986">
        <f>K23/F23</f>
        <v>2.3021751999999998</v>
      </c>
      <c r="Q23" s="969"/>
    </row>
    <row r="24" spans="1:17" ht="15.75" customHeight="1">
      <c r="A24" s="998" t="s">
        <v>1460</v>
      </c>
      <c r="B24" s="999">
        <f aca="true" t="shared" si="6" ref="B24:H24">SUM(B25:B26)</f>
        <v>63000</v>
      </c>
      <c r="C24" s="999">
        <f t="shared" si="6"/>
        <v>0</v>
      </c>
      <c r="D24" s="999">
        <f t="shared" si="6"/>
        <v>0</v>
      </c>
      <c r="E24" s="999">
        <f t="shared" si="6"/>
        <v>0</v>
      </c>
      <c r="F24" s="999">
        <f t="shared" si="6"/>
        <v>63000</v>
      </c>
      <c r="G24" s="1000">
        <f t="shared" si="6"/>
        <v>79715.98</v>
      </c>
      <c r="H24" s="1000">
        <f t="shared" si="6"/>
        <v>0</v>
      </c>
      <c r="I24" s="1000"/>
      <c r="J24" s="1000">
        <f>SUM(J25:J26)</f>
        <v>0</v>
      </c>
      <c r="K24" s="1000">
        <f>SUM(K25:K26)</f>
        <v>79715.98</v>
      </c>
      <c r="L24" s="1001">
        <f t="shared" si="3"/>
        <v>1.2653330158730158</v>
      </c>
      <c r="M24" s="1001"/>
      <c r="N24" s="999"/>
      <c r="O24" s="1002"/>
      <c r="P24" s="978">
        <f>SUM(K24/F24)</f>
        <v>1.2653330158730158</v>
      </c>
      <c r="Q24" s="983"/>
    </row>
    <row r="25" spans="1:17" ht="15.75" customHeight="1">
      <c r="A25" s="984" t="s">
        <v>1461</v>
      </c>
      <c r="B25" s="985">
        <f>SUM(C25:F25)</f>
        <v>48500</v>
      </c>
      <c r="C25" s="985"/>
      <c r="D25" s="985"/>
      <c r="E25" s="985"/>
      <c r="F25" s="985">
        <v>48500</v>
      </c>
      <c r="G25" s="156">
        <f>SUM(H25:K25)</f>
        <v>55496.29</v>
      </c>
      <c r="H25" s="156"/>
      <c r="I25" s="156"/>
      <c r="J25" s="156"/>
      <c r="K25" s="156">
        <v>55496.29</v>
      </c>
      <c r="L25" s="1003">
        <f t="shared" si="3"/>
        <v>1.1442534020618558</v>
      </c>
      <c r="M25" s="1001"/>
      <c r="N25" s="985"/>
      <c r="O25" s="987"/>
      <c r="P25" s="986">
        <f>SUM(K25/F25)</f>
        <v>1.1442534020618558</v>
      </c>
      <c r="Q25" s="969"/>
    </row>
    <row r="26" spans="1:17" ht="15.75" customHeight="1">
      <c r="A26" s="984" t="s">
        <v>1462</v>
      </c>
      <c r="B26" s="985">
        <f>SUM(C26:F26)</f>
        <v>14500</v>
      </c>
      <c r="C26" s="985"/>
      <c r="D26" s="985"/>
      <c r="E26" s="985"/>
      <c r="F26" s="985">
        <v>14500</v>
      </c>
      <c r="G26" s="156">
        <f>SUM(H26:K26)</f>
        <v>24219.69</v>
      </c>
      <c r="H26" s="156"/>
      <c r="I26" s="156"/>
      <c r="J26" s="156"/>
      <c r="K26" s="156">
        <v>24219.69</v>
      </c>
      <c r="L26" s="986">
        <f t="shared" si="3"/>
        <v>1.670323448275862</v>
      </c>
      <c r="M26" s="978"/>
      <c r="N26" s="985"/>
      <c r="O26" s="987"/>
      <c r="P26" s="986">
        <f>SUM(K26/F26)</f>
        <v>1.670323448275862</v>
      </c>
      <c r="Q26" s="969"/>
    </row>
    <row r="27" spans="1:17" ht="15.75" customHeight="1">
      <c r="A27" s="989" t="s">
        <v>1463</v>
      </c>
      <c r="B27" s="985"/>
      <c r="C27" s="985"/>
      <c r="D27" s="985"/>
      <c r="E27" s="985"/>
      <c r="F27" s="985"/>
      <c r="G27" s="991">
        <f>SUM(H27:K27)</f>
        <v>4543.55</v>
      </c>
      <c r="H27" s="991"/>
      <c r="I27" s="991"/>
      <c r="J27" s="991"/>
      <c r="K27" s="991">
        <v>4543.55</v>
      </c>
      <c r="L27" s="986"/>
      <c r="M27" s="978"/>
      <c r="N27" s="985"/>
      <c r="O27" s="987"/>
      <c r="P27" s="978"/>
      <c r="Q27" s="969"/>
    </row>
    <row r="28" spans="1:17" ht="15.75" customHeight="1">
      <c r="A28" s="998" t="s">
        <v>1464</v>
      </c>
      <c r="B28" s="999">
        <f>SUM(B29:B31,B34,B36,B38,B40,B42:B48,B50)</f>
        <v>49200</v>
      </c>
      <c r="C28" s="999">
        <f aca="true" t="shared" si="7" ref="C28:K28">SUM(C29:C31,C34,C36,C38,C40,C42:C48,C50)</f>
        <v>0</v>
      </c>
      <c r="D28" s="999">
        <f t="shared" si="7"/>
        <v>0</v>
      </c>
      <c r="E28" s="999">
        <f t="shared" si="7"/>
        <v>0</v>
      </c>
      <c r="F28" s="999">
        <f t="shared" si="7"/>
        <v>49200</v>
      </c>
      <c r="G28" s="1000">
        <f t="shared" si="7"/>
        <v>88988.46</v>
      </c>
      <c r="H28" s="1000">
        <f t="shared" si="7"/>
        <v>0</v>
      </c>
      <c r="I28" s="1000">
        <f t="shared" si="7"/>
        <v>0</v>
      </c>
      <c r="J28" s="1000">
        <f t="shared" si="7"/>
        <v>0</v>
      </c>
      <c r="K28" s="1000">
        <f t="shared" si="7"/>
        <v>88988.46</v>
      </c>
      <c r="L28" s="1004">
        <f>SUM(G28/B28)</f>
        <v>1.808708536585366</v>
      </c>
      <c r="M28" s="978"/>
      <c r="N28" s="985"/>
      <c r="O28" s="1004">
        <v>1.18</v>
      </c>
      <c r="P28" s="978">
        <f aca="true" t="shared" si="8" ref="P28:P33">SUM(K28/F28)</f>
        <v>1.808708536585366</v>
      </c>
      <c r="Q28" s="969"/>
    </row>
    <row r="29" spans="1:17" ht="15.75" customHeight="1">
      <c r="A29" s="984" t="s">
        <v>1465</v>
      </c>
      <c r="B29" s="985">
        <f>SUM(C29:F29)</f>
        <v>16000</v>
      </c>
      <c r="C29" s="1005"/>
      <c r="D29" s="985"/>
      <c r="E29" s="985"/>
      <c r="F29" s="985">
        <v>16000</v>
      </c>
      <c r="G29" s="156">
        <f>SUM(H29:K29)</f>
        <v>21464.92</v>
      </c>
      <c r="H29" s="156"/>
      <c r="I29" s="156"/>
      <c r="J29" s="156"/>
      <c r="K29" s="156">
        <v>21464.92</v>
      </c>
      <c r="L29" s="986">
        <f t="shared" si="3"/>
        <v>1.3415575</v>
      </c>
      <c r="M29" s="978"/>
      <c r="N29" s="985"/>
      <c r="O29" s="987"/>
      <c r="P29" s="986">
        <f t="shared" si="8"/>
        <v>1.3415575</v>
      </c>
      <c r="Q29" s="969"/>
    </row>
    <row r="30" spans="1:17" ht="15.75" customHeight="1">
      <c r="A30" s="984" t="s">
        <v>1466</v>
      </c>
      <c r="B30" s="985">
        <f>SUM(C30:F30)</f>
        <v>500</v>
      </c>
      <c r="C30" s="985"/>
      <c r="D30" s="985"/>
      <c r="E30" s="985"/>
      <c r="F30" s="985">
        <v>500</v>
      </c>
      <c r="G30" s="156">
        <f>SUM(H30:K30)</f>
        <v>735.08</v>
      </c>
      <c r="H30" s="156"/>
      <c r="I30" s="156"/>
      <c r="J30" s="156"/>
      <c r="K30" s="156">
        <v>735.08</v>
      </c>
      <c r="L30" s="986">
        <f>G30/B30</f>
        <v>1.4701600000000001</v>
      </c>
      <c r="M30" s="986"/>
      <c r="N30" s="985"/>
      <c r="O30" s="987"/>
      <c r="P30" s="986">
        <f t="shared" si="8"/>
        <v>1.4701600000000001</v>
      </c>
      <c r="Q30" s="969"/>
    </row>
    <row r="31" spans="1:17" ht="15.75" customHeight="1">
      <c r="A31" s="984" t="s">
        <v>1467</v>
      </c>
      <c r="B31" s="985">
        <f>SUM(B32:B33)</f>
        <v>12000</v>
      </c>
      <c r="C31" s="985">
        <f aca="true" t="shared" si="9" ref="C31:K31">SUM(C32:C33)</f>
        <v>0</v>
      </c>
      <c r="D31" s="985">
        <f t="shared" si="9"/>
        <v>0</v>
      </c>
      <c r="E31" s="985">
        <f t="shared" si="9"/>
        <v>0</v>
      </c>
      <c r="F31" s="985">
        <f t="shared" si="9"/>
        <v>12000</v>
      </c>
      <c r="G31" s="156">
        <f t="shared" si="9"/>
        <v>8396.279999999999</v>
      </c>
      <c r="H31" s="156">
        <f t="shared" si="9"/>
        <v>0</v>
      </c>
      <c r="I31" s="156">
        <f t="shared" si="9"/>
        <v>0</v>
      </c>
      <c r="J31" s="156">
        <f t="shared" si="9"/>
        <v>0</v>
      </c>
      <c r="K31" s="156">
        <f t="shared" si="9"/>
        <v>8396.279999999999</v>
      </c>
      <c r="L31" s="987">
        <f>SUM(K31/B31)</f>
        <v>0.6996899999999999</v>
      </c>
      <c r="M31" s="986"/>
      <c r="N31" s="985"/>
      <c r="O31" s="987"/>
      <c r="P31" s="986">
        <f t="shared" si="8"/>
        <v>0.6996899999999999</v>
      </c>
      <c r="Q31" s="969"/>
    </row>
    <row r="32" spans="1:17" ht="15.75" customHeight="1">
      <c r="A32" s="984" t="s">
        <v>1468</v>
      </c>
      <c r="B32" s="985">
        <f>SUM(C32:F32)</f>
        <v>8400</v>
      </c>
      <c r="C32" s="985"/>
      <c r="D32" s="985"/>
      <c r="E32" s="985"/>
      <c r="F32" s="985">
        <v>8400</v>
      </c>
      <c r="G32" s="156">
        <f aca="true" t="shared" si="10" ref="G32:G45">SUM(H32:K32)</f>
        <v>5877.4</v>
      </c>
      <c r="H32" s="156"/>
      <c r="I32" s="156"/>
      <c r="J32" s="156"/>
      <c r="K32" s="156">
        <v>5877.4</v>
      </c>
      <c r="L32" s="987">
        <f>SUM(K32/B32)</f>
        <v>0.6996904761904762</v>
      </c>
      <c r="M32" s="986"/>
      <c r="N32" s="985"/>
      <c r="O32" s="987"/>
      <c r="P32" s="986">
        <f t="shared" si="8"/>
        <v>0.6996904761904762</v>
      </c>
      <c r="Q32" s="969"/>
    </row>
    <row r="33" spans="1:17" ht="15.75" customHeight="1">
      <c r="A33" s="984" t="s">
        <v>1469</v>
      </c>
      <c r="B33" s="985">
        <f>SUM(C33:F33)</f>
        <v>3600</v>
      </c>
      <c r="C33" s="985"/>
      <c r="D33" s="985"/>
      <c r="E33" s="985"/>
      <c r="F33" s="985">
        <v>3600</v>
      </c>
      <c r="G33" s="156">
        <f t="shared" si="10"/>
        <v>2518.88</v>
      </c>
      <c r="H33" s="156"/>
      <c r="I33" s="156"/>
      <c r="J33" s="156"/>
      <c r="K33" s="156">
        <v>2518.88</v>
      </c>
      <c r="L33" s="987">
        <f>SUM(K33/B33)</f>
        <v>0.6996888888888889</v>
      </c>
      <c r="M33" s="986"/>
      <c r="N33" s="985"/>
      <c r="O33" s="987"/>
      <c r="P33" s="986">
        <f t="shared" si="8"/>
        <v>0.6996888888888889</v>
      </c>
      <c r="Q33" s="969"/>
    </row>
    <row r="34" spans="1:17" ht="15.75" customHeight="1">
      <c r="A34" s="984" t="s">
        <v>1470</v>
      </c>
      <c r="B34" s="985"/>
      <c r="C34" s="985"/>
      <c r="D34" s="985"/>
      <c r="E34" s="985"/>
      <c r="F34" s="985"/>
      <c r="G34" s="156">
        <f t="shared" si="10"/>
        <v>8027.11</v>
      </c>
      <c r="H34" s="985"/>
      <c r="I34" s="985"/>
      <c r="J34" s="985"/>
      <c r="K34" s="156">
        <f>7585.73+441.38</f>
        <v>8027.11</v>
      </c>
      <c r="L34" s="986"/>
      <c r="M34" s="986"/>
      <c r="N34" s="985"/>
      <c r="O34" s="987"/>
      <c r="P34" s="986"/>
      <c r="Q34" s="969"/>
    </row>
    <row r="35" spans="1:17" ht="15.75" customHeight="1">
      <c r="A35" s="989" t="s">
        <v>1471</v>
      </c>
      <c r="B35" s="985"/>
      <c r="C35" s="985"/>
      <c r="D35" s="985"/>
      <c r="E35" s="985"/>
      <c r="F35" s="985"/>
      <c r="G35" s="991">
        <f t="shared" si="10"/>
        <v>967.52</v>
      </c>
      <c r="H35" s="991"/>
      <c r="I35" s="991"/>
      <c r="J35" s="991"/>
      <c r="K35" s="991">
        <v>967.52</v>
      </c>
      <c r="L35" s="992"/>
      <c r="M35" s="986"/>
      <c r="N35" s="985"/>
      <c r="O35" s="987"/>
      <c r="P35" s="986"/>
      <c r="Q35" s="969"/>
    </row>
    <row r="36" spans="1:17" ht="15.75" customHeight="1">
      <c r="A36" s="984" t="s">
        <v>1472</v>
      </c>
      <c r="B36" s="985"/>
      <c r="C36" s="985"/>
      <c r="D36" s="985"/>
      <c r="E36" s="985"/>
      <c r="F36" s="985"/>
      <c r="G36" s="156">
        <f t="shared" si="10"/>
        <v>436.2</v>
      </c>
      <c r="H36" s="156"/>
      <c r="I36" s="156"/>
      <c r="J36" s="156"/>
      <c r="K36" s="156">
        <v>436.2</v>
      </c>
      <c r="L36" s="1006"/>
      <c r="M36" s="978"/>
      <c r="N36" s="985"/>
      <c r="O36" s="987"/>
      <c r="P36" s="986"/>
      <c r="Q36" s="969"/>
    </row>
    <row r="37" spans="1:17" ht="15.75" customHeight="1">
      <c r="A37" s="989" t="s">
        <v>1471</v>
      </c>
      <c r="B37" s="985"/>
      <c r="C37" s="990"/>
      <c r="D37" s="990"/>
      <c r="E37" s="990"/>
      <c r="F37" s="990"/>
      <c r="G37" s="991">
        <f t="shared" si="10"/>
        <v>200.2</v>
      </c>
      <c r="H37" s="991"/>
      <c r="I37" s="991"/>
      <c r="J37" s="991"/>
      <c r="K37" s="991">
        <v>200.2</v>
      </c>
      <c r="L37" s="1007"/>
      <c r="M37" s="996"/>
      <c r="N37" s="990"/>
      <c r="O37" s="1008"/>
      <c r="P37" s="986"/>
      <c r="Q37" s="969"/>
    </row>
    <row r="38" spans="1:17" ht="15.75" customHeight="1">
      <c r="A38" s="396" t="s">
        <v>1473</v>
      </c>
      <c r="B38" s="985"/>
      <c r="C38" s="985"/>
      <c r="D38" s="985"/>
      <c r="E38" s="985"/>
      <c r="F38" s="985"/>
      <c r="G38" s="156">
        <f t="shared" si="10"/>
        <v>14513.75</v>
      </c>
      <c r="H38" s="156"/>
      <c r="I38" s="156"/>
      <c r="J38" s="156"/>
      <c r="K38" s="156">
        <v>14513.75</v>
      </c>
      <c r="L38" s="986"/>
      <c r="M38" s="978"/>
      <c r="N38" s="985"/>
      <c r="O38" s="987"/>
      <c r="P38" s="986"/>
      <c r="Q38" s="969"/>
    </row>
    <row r="39" spans="1:17" ht="15.75" customHeight="1">
      <c r="A39" s="989" t="s">
        <v>1471</v>
      </c>
      <c r="B39" s="985"/>
      <c r="C39" s="990"/>
      <c r="D39" s="990"/>
      <c r="E39" s="990"/>
      <c r="F39" s="990"/>
      <c r="G39" s="991">
        <f t="shared" si="10"/>
        <v>2393.22</v>
      </c>
      <c r="H39" s="991"/>
      <c r="I39" s="991"/>
      <c r="J39" s="991"/>
      <c r="K39" s="156">
        <v>2393.22</v>
      </c>
      <c r="L39" s="1007"/>
      <c r="M39" s="996"/>
      <c r="N39" s="990"/>
      <c r="O39" s="1008"/>
      <c r="P39" s="986"/>
      <c r="Q39" s="969"/>
    </row>
    <row r="40" spans="1:17" ht="15.75" customHeight="1">
      <c r="A40" s="984" t="s">
        <v>1474</v>
      </c>
      <c r="B40" s="985"/>
      <c r="C40" s="985"/>
      <c r="D40" s="985"/>
      <c r="E40" s="985"/>
      <c r="F40" s="985"/>
      <c r="G40" s="156">
        <f t="shared" si="10"/>
        <v>0.8</v>
      </c>
      <c r="H40" s="156"/>
      <c r="I40" s="156"/>
      <c r="J40" s="156"/>
      <c r="K40" s="156">
        <v>0.8</v>
      </c>
      <c r="L40" s="1006"/>
      <c r="M40" s="978"/>
      <c r="N40" s="1009"/>
      <c r="O40" s="1010"/>
      <c r="P40" s="986"/>
      <c r="Q40" s="969"/>
    </row>
    <row r="41" spans="1:17" ht="15.75" customHeight="1">
      <c r="A41" s="989" t="s">
        <v>1471</v>
      </c>
      <c r="B41" s="990"/>
      <c r="C41" s="990"/>
      <c r="D41" s="990"/>
      <c r="E41" s="990"/>
      <c r="F41" s="990"/>
      <c r="G41" s="991">
        <f t="shared" si="10"/>
        <v>0.8</v>
      </c>
      <c r="H41" s="991"/>
      <c r="I41" s="991"/>
      <c r="J41" s="991"/>
      <c r="K41" s="991">
        <v>0.8</v>
      </c>
      <c r="L41" s="1006"/>
      <c r="M41" s="978"/>
      <c r="N41" s="1009"/>
      <c r="O41" s="1010"/>
      <c r="P41" s="986"/>
      <c r="Q41" s="969"/>
    </row>
    <row r="42" spans="1:17" ht="15.75" customHeight="1">
      <c r="A42" s="984" t="s">
        <v>1475</v>
      </c>
      <c r="B42" s="985"/>
      <c r="C42" s="985"/>
      <c r="D42" s="985"/>
      <c r="E42" s="985"/>
      <c r="F42" s="985"/>
      <c r="G42" s="156">
        <f t="shared" si="10"/>
        <v>12</v>
      </c>
      <c r="H42" s="156"/>
      <c r="I42" s="156"/>
      <c r="J42" s="156"/>
      <c r="K42" s="156">
        <v>12</v>
      </c>
      <c r="L42" s="1006"/>
      <c r="M42" s="978"/>
      <c r="N42" s="1009"/>
      <c r="O42" s="1010"/>
      <c r="P42" s="986"/>
      <c r="Q42" s="969"/>
    </row>
    <row r="43" spans="1:17" ht="15.75" customHeight="1">
      <c r="A43" s="984" t="s">
        <v>1476</v>
      </c>
      <c r="B43" s="985"/>
      <c r="C43" s="985"/>
      <c r="D43" s="985"/>
      <c r="E43" s="985"/>
      <c r="F43" s="985"/>
      <c r="G43" s="156">
        <f t="shared" si="10"/>
        <v>6691.87</v>
      </c>
      <c r="H43" s="156"/>
      <c r="I43" s="156"/>
      <c r="J43" s="156"/>
      <c r="K43" s="156">
        <v>6691.87</v>
      </c>
      <c r="L43" s="1006"/>
      <c r="M43" s="978"/>
      <c r="N43" s="1009"/>
      <c r="O43" s="1010"/>
      <c r="P43" s="986"/>
      <c r="Q43" s="969"/>
    </row>
    <row r="44" spans="1:17" ht="15.75" customHeight="1">
      <c r="A44" s="396" t="s">
        <v>1477</v>
      </c>
      <c r="B44" s="985">
        <f aca="true" t="shared" si="11" ref="B44:B50">SUM(C44:F44)</f>
        <v>13000</v>
      </c>
      <c r="C44" s="985"/>
      <c r="D44" s="985"/>
      <c r="E44" s="985"/>
      <c r="F44" s="985">
        <v>13000</v>
      </c>
      <c r="G44" s="156">
        <f t="shared" si="10"/>
        <v>13880.56</v>
      </c>
      <c r="H44" s="156"/>
      <c r="I44" s="156"/>
      <c r="J44" s="156"/>
      <c r="K44" s="156">
        <v>13880.56</v>
      </c>
      <c r="L44" s="986">
        <f>SUM(G44/B44)</f>
        <v>1.0677353846153845</v>
      </c>
      <c r="M44" s="986"/>
      <c r="N44" s="986"/>
      <c r="O44" s="986"/>
      <c r="P44" s="986">
        <f>SUM(K44/F44)</f>
        <v>1.0677353846153845</v>
      </c>
      <c r="Q44" s="969"/>
    </row>
    <row r="45" spans="1:17" ht="15.75" customHeight="1">
      <c r="A45" s="396" t="s">
        <v>1478</v>
      </c>
      <c r="B45" s="985"/>
      <c r="C45" s="985"/>
      <c r="D45" s="985"/>
      <c r="E45" s="985"/>
      <c r="F45" s="985"/>
      <c r="G45" s="156">
        <f t="shared" si="10"/>
        <v>14.74</v>
      </c>
      <c r="H45" s="156"/>
      <c r="I45" s="156"/>
      <c r="J45" s="156"/>
      <c r="K45" s="156">
        <v>14.74</v>
      </c>
      <c r="L45" s="986"/>
      <c r="M45" s="978"/>
      <c r="N45" s="985"/>
      <c r="O45" s="987"/>
      <c r="P45" s="986"/>
      <c r="Q45" s="969"/>
    </row>
    <row r="46" spans="1:17" ht="15.75" customHeight="1">
      <c r="A46" s="984" t="s">
        <v>1479</v>
      </c>
      <c r="B46" s="985">
        <f t="shared" si="11"/>
        <v>0</v>
      </c>
      <c r="C46" s="985"/>
      <c r="D46" s="985"/>
      <c r="E46" s="985"/>
      <c r="F46" s="985"/>
      <c r="G46" s="156">
        <f>K46</f>
        <v>3324.56</v>
      </c>
      <c r="H46" s="156"/>
      <c r="I46" s="156"/>
      <c r="J46" s="156"/>
      <c r="K46" s="156">
        <v>3324.56</v>
      </c>
      <c r="L46" s="978"/>
      <c r="M46" s="978"/>
      <c r="N46" s="985"/>
      <c r="O46" s="987"/>
      <c r="P46" s="986"/>
      <c r="Q46" s="969"/>
    </row>
    <row r="47" spans="1:17" ht="15.75" customHeight="1">
      <c r="A47" s="984" t="s">
        <v>1480</v>
      </c>
      <c r="B47" s="985">
        <f t="shared" si="11"/>
        <v>0</v>
      </c>
      <c r="C47" s="985"/>
      <c r="D47" s="985"/>
      <c r="E47" s="985"/>
      <c r="F47" s="985"/>
      <c r="G47" s="156">
        <f>K47</f>
        <v>5969.73</v>
      </c>
      <c r="H47" s="156"/>
      <c r="I47" s="156"/>
      <c r="J47" s="156"/>
      <c r="K47" s="156">
        <v>5969.73</v>
      </c>
      <c r="L47" s="978"/>
      <c r="M47" s="978"/>
      <c r="N47" s="985"/>
      <c r="O47" s="987"/>
      <c r="P47" s="986"/>
      <c r="Q47" s="969"/>
    </row>
    <row r="48" spans="1:17" ht="15.75" customHeight="1">
      <c r="A48" s="984" t="s">
        <v>1481</v>
      </c>
      <c r="B48" s="985">
        <f t="shared" si="11"/>
        <v>4000</v>
      </c>
      <c r="C48" s="985"/>
      <c r="D48" s="985"/>
      <c r="E48" s="985"/>
      <c r="F48" s="985">
        <v>4000</v>
      </c>
      <c r="G48" s="156">
        <f>K48</f>
        <v>2631.55</v>
      </c>
      <c r="H48" s="1011"/>
      <c r="I48" s="156"/>
      <c r="J48" s="156"/>
      <c r="K48" s="156">
        <v>2631.55</v>
      </c>
      <c r="L48" s="986">
        <f>SUM(K48/B48)</f>
        <v>0.6578875000000001</v>
      </c>
      <c r="M48" s="978"/>
      <c r="N48" s="985"/>
      <c r="O48" s="987"/>
      <c r="P48" s="986">
        <f>SUM(K48/F48)</f>
        <v>0.6578875000000001</v>
      </c>
      <c r="Q48" s="969"/>
    </row>
    <row r="49" spans="1:17" ht="15.75" customHeight="1">
      <c r="A49" s="989" t="s">
        <v>1471</v>
      </c>
      <c r="B49" s="985"/>
      <c r="C49" s="985"/>
      <c r="D49" s="985"/>
      <c r="E49" s="985"/>
      <c r="F49" s="985"/>
      <c r="G49" s="991">
        <f>K49</f>
        <v>0.01</v>
      </c>
      <c r="H49" s="1012"/>
      <c r="I49" s="991"/>
      <c r="J49" s="991"/>
      <c r="K49" s="991">
        <v>0.01</v>
      </c>
      <c r="L49" s="986"/>
      <c r="M49" s="978"/>
      <c r="N49" s="985"/>
      <c r="O49" s="987"/>
      <c r="P49" s="986"/>
      <c r="Q49" s="969"/>
    </row>
    <row r="50" spans="1:17" ht="15.75" customHeight="1">
      <c r="A50" s="396" t="s">
        <v>1482</v>
      </c>
      <c r="B50" s="985">
        <f t="shared" si="11"/>
        <v>3700</v>
      </c>
      <c r="C50" s="985"/>
      <c r="D50" s="985"/>
      <c r="E50" s="985"/>
      <c r="F50" s="985">
        <v>3700</v>
      </c>
      <c r="G50" s="156">
        <f aca="true" t="shared" si="12" ref="G50:G56">SUM(H50:K50)</f>
        <v>2889.31</v>
      </c>
      <c r="H50" s="156"/>
      <c r="I50" s="156"/>
      <c r="J50" s="156"/>
      <c r="K50" s="156">
        <v>2889.31</v>
      </c>
      <c r="L50" s="986">
        <f>SUM(K50/B50)</f>
        <v>0.7808945945945945</v>
      </c>
      <c r="M50" s="1013"/>
      <c r="N50" s="985"/>
      <c r="O50" s="987"/>
      <c r="P50" s="986">
        <f>SUM(K50/F50)</f>
        <v>0.7808945945945945</v>
      </c>
      <c r="Q50" s="969"/>
    </row>
    <row r="51" spans="1:17" ht="15.75" customHeight="1">
      <c r="A51" s="1014" t="s">
        <v>1483</v>
      </c>
      <c r="B51" s="999"/>
      <c r="C51" s="999"/>
      <c r="D51" s="999"/>
      <c r="E51" s="999"/>
      <c r="F51" s="999"/>
      <c r="G51" s="1000">
        <f t="shared" si="12"/>
        <v>11261.63</v>
      </c>
      <c r="H51" s="1000"/>
      <c r="I51" s="1000"/>
      <c r="J51" s="1000"/>
      <c r="K51" s="1000">
        <v>11261.63</v>
      </c>
      <c r="L51" s="978"/>
      <c r="M51" s="978"/>
      <c r="N51" s="999"/>
      <c r="O51" s="1004"/>
      <c r="P51" s="986"/>
      <c r="Q51" s="969"/>
    </row>
    <row r="52" spans="1:17" ht="15.75" customHeight="1">
      <c r="A52" s="998" t="s">
        <v>1484</v>
      </c>
      <c r="B52" s="1015">
        <f>SUM(C52:F52)</f>
        <v>0</v>
      </c>
      <c r="C52" s="1015"/>
      <c r="D52" s="1015"/>
      <c r="E52" s="1015"/>
      <c r="F52" s="1015"/>
      <c r="G52" s="1016">
        <f t="shared" si="12"/>
        <v>1308855.6</v>
      </c>
      <c r="H52" s="1016"/>
      <c r="I52" s="1017"/>
      <c r="J52" s="1017"/>
      <c r="K52" s="1016">
        <v>1308855.6</v>
      </c>
      <c r="L52" s="978"/>
      <c r="M52" s="978"/>
      <c r="N52" s="1005"/>
      <c r="O52" s="987"/>
      <c r="P52" s="1005"/>
      <c r="Q52" s="1018"/>
    </row>
    <row r="53" spans="1:17" ht="15.75" customHeight="1">
      <c r="A53" s="998" t="s">
        <v>1485</v>
      </c>
      <c r="B53" s="999">
        <v>0</v>
      </c>
      <c r="C53" s="999"/>
      <c r="D53" s="985"/>
      <c r="E53" s="985"/>
      <c r="F53" s="985"/>
      <c r="G53" s="1016">
        <f t="shared" si="12"/>
        <v>35850.35</v>
      </c>
      <c r="H53" s="981"/>
      <c r="I53" s="1019"/>
      <c r="J53" s="1019"/>
      <c r="K53" s="1016">
        <v>35850.35</v>
      </c>
      <c r="L53" s="978"/>
      <c r="M53" s="987"/>
      <c r="N53" s="985"/>
      <c r="O53" s="987"/>
      <c r="P53" s="985"/>
      <c r="Q53" s="969"/>
    </row>
    <row r="54" spans="1:17" ht="15.75" customHeight="1">
      <c r="A54" s="1020" t="s">
        <v>1486</v>
      </c>
      <c r="B54" s="1021"/>
      <c r="C54" s="1021"/>
      <c r="D54" s="1022"/>
      <c r="E54" s="1022"/>
      <c r="F54" s="1022"/>
      <c r="G54" s="1016">
        <f>SUM(H54:K54)</f>
        <v>107458</v>
      </c>
      <c r="H54" s="1023"/>
      <c r="I54" s="1024"/>
      <c r="J54" s="1024"/>
      <c r="K54" s="1025">
        <v>107458</v>
      </c>
      <c r="L54" s="1026"/>
      <c r="M54" s="1027"/>
      <c r="N54" s="1022"/>
      <c r="O54" s="1027"/>
      <c r="P54" s="1022"/>
      <c r="Q54" s="969"/>
    </row>
    <row r="55" spans="1:17" ht="15.75" customHeight="1">
      <c r="A55" s="1020" t="s">
        <v>1487</v>
      </c>
      <c r="B55" s="1021"/>
      <c r="C55" s="1021"/>
      <c r="D55" s="1022"/>
      <c r="E55" s="1022"/>
      <c r="F55" s="1022"/>
      <c r="G55" s="1016">
        <f t="shared" si="12"/>
        <v>114032.08</v>
      </c>
      <c r="H55" s="1023"/>
      <c r="I55" s="1024"/>
      <c r="J55" s="1024"/>
      <c r="K55" s="1025">
        <v>114032.08</v>
      </c>
      <c r="L55" s="1026"/>
      <c r="M55" s="1027"/>
      <c r="N55" s="1022"/>
      <c r="O55" s="1027"/>
      <c r="P55" s="1022"/>
      <c r="Q55" s="969"/>
    </row>
    <row r="56" spans="1:17" ht="15.75" customHeight="1">
      <c r="A56" s="1028" t="s">
        <v>1488</v>
      </c>
      <c r="B56" s="1022"/>
      <c r="C56" s="1022"/>
      <c r="D56" s="1022"/>
      <c r="E56" s="1022"/>
      <c r="F56" s="1022"/>
      <c r="G56" s="1024">
        <f t="shared" si="12"/>
        <v>110753.33</v>
      </c>
      <c r="H56" s="1024"/>
      <c r="I56" s="1024"/>
      <c r="J56" s="1024"/>
      <c r="K56" s="1024">
        <v>110753.33</v>
      </c>
      <c r="L56" s="1026"/>
      <c r="M56" s="1027"/>
      <c r="N56" s="1022"/>
      <c r="O56" s="1027"/>
      <c r="P56" s="1022"/>
      <c r="Q56" s="969"/>
    </row>
    <row r="57" spans="1:17" ht="15.75" customHeight="1">
      <c r="A57" s="1029" t="s">
        <v>1489</v>
      </c>
      <c r="B57" s="1030">
        <f>SUM(B7,B51:B55)-B11-B13-B18-B27-B32-B35-B37-B39-B41-B49-B56</f>
        <v>719100</v>
      </c>
      <c r="C57" s="1030">
        <f aca="true" t="shared" si="13" ref="C57:K57">SUM(C7,C51:C55)-C11-C13-C18-C27-C32-C35-C37-C39-C41-C49-C56</f>
        <v>211000</v>
      </c>
      <c r="D57" s="1030">
        <f t="shared" si="13"/>
        <v>300</v>
      </c>
      <c r="E57" s="1030">
        <f t="shared" si="13"/>
        <v>325500</v>
      </c>
      <c r="F57" s="1030">
        <f t="shared" si="13"/>
        <v>182300</v>
      </c>
      <c r="G57" s="1031">
        <f t="shared" si="13"/>
        <v>2283853.0300000007</v>
      </c>
      <c r="H57" s="1031">
        <f t="shared" si="13"/>
        <v>200676.56</v>
      </c>
      <c r="I57" s="1031">
        <f t="shared" si="13"/>
        <v>130.24</v>
      </c>
      <c r="J57" s="1031">
        <f t="shared" si="13"/>
        <v>292772.37</v>
      </c>
      <c r="K57" s="1031">
        <f t="shared" si="13"/>
        <v>1716329.07</v>
      </c>
      <c r="L57" s="1030"/>
      <c r="M57" s="1030"/>
      <c r="N57" s="1030"/>
      <c r="O57" s="1030"/>
      <c r="P57" s="1030"/>
      <c r="Q57" s="969"/>
    </row>
    <row r="58" spans="1:17" ht="18" customHeight="1">
      <c r="A58" s="1032"/>
      <c r="B58" s="966"/>
      <c r="C58" s="966"/>
      <c r="D58" s="966"/>
      <c r="E58" s="966"/>
      <c r="F58" s="1033"/>
      <c r="G58" s="1034"/>
      <c r="H58" s="1034"/>
      <c r="I58" s="1034"/>
      <c r="J58" s="1092"/>
      <c r="K58" s="1092"/>
      <c r="L58" s="1092"/>
      <c r="M58" s="1092"/>
      <c r="N58" s="1092"/>
      <c r="O58" s="1092"/>
      <c r="P58" s="967"/>
      <c r="Q58" s="102"/>
    </row>
    <row r="59" spans="1:17" ht="18" customHeight="1">
      <c r="A59" s="1032"/>
      <c r="B59" s="966"/>
      <c r="C59" s="1041"/>
      <c r="D59" s="1041"/>
      <c r="E59" s="1041"/>
      <c r="F59" s="1041"/>
      <c r="G59" s="1041"/>
      <c r="H59" s="1041"/>
      <c r="I59" s="1041"/>
      <c r="J59" s="1041"/>
      <c r="K59" s="1041"/>
      <c r="L59" s="1041"/>
      <c r="M59" s="1041"/>
      <c r="N59" s="1041"/>
      <c r="O59" s="1041"/>
      <c r="P59" s="1041"/>
      <c r="Q59" s="102"/>
    </row>
    <row r="60" spans="1:17" ht="18" customHeight="1">
      <c r="A60" s="1032"/>
      <c r="B60" s="966"/>
      <c r="C60" s="1042"/>
      <c r="D60" s="1042"/>
      <c r="E60" s="1042"/>
      <c r="F60" s="1042"/>
      <c r="G60" s="1042"/>
      <c r="H60" s="1042"/>
      <c r="I60" s="1042"/>
      <c r="J60" s="1042"/>
      <c r="K60" s="1042"/>
      <c r="L60" s="1042"/>
      <c r="M60" s="1042"/>
      <c r="N60" s="1042"/>
      <c r="O60" s="1042"/>
      <c r="P60" s="1042"/>
      <c r="Q60" s="102"/>
    </row>
    <row r="61" spans="1:17" ht="18" customHeight="1">
      <c r="A61" s="1032"/>
      <c r="B61" s="966"/>
      <c r="C61" s="1043"/>
      <c r="D61" s="1043"/>
      <c r="E61" s="1043"/>
      <c r="F61" s="1043"/>
      <c r="G61" s="1043"/>
      <c r="H61" s="1043"/>
      <c r="I61" s="1043"/>
      <c r="J61" s="1043"/>
      <c r="K61" s="1043"/>
      <c r="L61" s="1043"/>
      <c r="M61" s="1043"/>
      <c r="N61" s="1043"/>
      <c r="O61" s="1043"/>
      <c r="P61" s="1043"/>
      <c r="Q61" s="102"/>
    </row>
    <row r="62" spans="1:17" ht="18" customHeight="1">
      <c r="A62" s="1032"/>
      <c r="B62" s="966"/>
      <c r="C62" s="966"/>
      <c r="D62" s="966"/>
      <c r="E62" s="966"/>
      <c r="F62" s="966"/>
      <c r="G62" s="967"/>
      <c r="H62" s="967"/>
      <c r="I62" s="967"/>
      <c r="J62" s="469"/>
      <c r="K62" s="469"/>
      <c r="L62" s="469"/>
      <c r="M62" s="469"/>
      <c r="N62" s="469"/>
      <c r="O62" s="469"/>
      <c r="P62" s="967"/>
      <c r="Q62" s="102"/>
    </row>
    <row r="63" spans="1:17" ht="18" customHeight="1">
      <c r="A63" s="1032"/>
      <c r="B63" s="966"/>
      <c r="C63" s="966"/>
      <c r="D63" s="966"/>
      <c r="E63" s="966"/>
      <c r="F63" s="966"/>
      <c r="G63" s="967"/>
      <c r="H63" s="967"/>
      <c r="I63" s="967"/>
      <c r="J63" s="469"/>
      <c r="K63" s="469"/>
      <c r="L63" s="469"/>
      <c r="M63" s="469"/>
      <c r="N63" s="469"/>
      <c r="O63" s="469"/>
      <c r="P63" s="967"/>
      <c r="Q63" s="102"/>
    </row>
    <row r="65" spans="1:16" ht="18" customHeight="1">
      <c r="A65" s="1032"/>
      <c r="B65" s="966"/>
      <c r="C65" s="966"/>
      <c r="D65" s="966"/>
      <c r="E65" s="966"/>
      <c r="F65" s="1033"/>
      <c r="G65" s="1034"/>
      <c r="H65" s="1036"/>
      <c r="I65" s="1036"/>
      <c r="J65" s="1037"/>
      <c r="K65" s="1037"/>
      <c r="L65" s="1037"/>
      <c r="M65" s="1038"/>
      <c r="N65" s="1039"/>
      <c r="O65" s="1039"/>
      <c r="P65" s="1039"/>
    </row>
  </sheetData>
  <sheetProtection/>
  <mergeCells count="26">
    <mergeCell ref="J58:O58"/>
    <mergeCell ref="C59:P59"/>
    <mergeCell ref="C60:P60"/>
    <mergeCell ref="C61:P61"/>
    <mergeCell ref="K5:K6"/>
    <mergeCell ref="L5:L6"/>
    <mergeCell ref="M5:M6"/>
    <mergeCell ref="N5:N6"/>
    <mergeCell ref="O5:O6"/>
    <mergeCell ref="P5:P6"/>
    <mergeCell ref="E5:E6"/>
    <mergeCell ref="F5:F6"/>
    <mergeCell ref="G5:G6"/>
    <mergeCell ref="H5:H6"/>
    <mergeCell ref="I5:I6"/>
    <mergeCell ref="J5:J6"/>
    <mergeCell ref="M1:P1"/>
    <mergeCell ref="A2:P2"/>
    <mergeCell ref="M3:P3"/>
    <mergeCell ref="A4:A6"/>
    <mergeCell ref="B4:F4"/>
    <mergeCell ref="G4:K4"/>
    <mergeCell ref="L4:P4"/>
    <mergeCell ref="B5:B6"/>
    <mergeCell ref="C5:C6"/>
    <mergeCell ref="D5:D6"/>
  </mergeCells>
  <printOptions horizontalCentered="1"/>
  <pageMargins left="0.25" right="0.25" top="0.5" bottom="0.25" header="0.5" footer="0.5"/>
  <pageSetup horizontalDpi="600" verticalDpi="600" orientation="landscape" paperSize="9" scale="90" r:id="rId1"/>
</worksheet>
</file>

<file path=xl/worksheets/sheet4.xml><?xml version="1.0" encoding="utf-8"?>
<worksheet xmlns="http://schemas.openxmlformats.org/spreadsheetml/2006/main" xmlns:r="http://schemas.openxmlformats.org/officeDocument/2006/relationships">
  <dimension ref="A1:K27"/>
  <sheetViews>
    <sheetView zoomScalePageLayoutView="0" workbookViewId="0" topLeftCell="A1">
      <selection activeCell="F1" sqref="F1:K1"/>
    </sheetView>
  </sheetViews>
  <sheetFormatPr defaultColWidth="9.140625" defaultRowHeight="12.75"/>
  <cols>
    <col min="1" max="1" width="6.140625" style="641" customWidth="1"/>
    <col min="2" max="2" width="46.421875" style="641" customWidth="1"/>
    <col min="3" max="3" width="14.8515625" style="689" customWidth="1"/>
    <col min="4" max="4" width="14.57421875" style="689" customWidth="1"/>
    <col min="5" max="5" width="14.00390625" style="689" customWidth="1"/>
    <col min="6" max="6" width="14.28125" style="641" customWidth="1"/>
    <col min="7" max="7" width="14.421875" style="641" customWidth="1"/>
    <col min="8" max="8" width="14.7109375" style="641" customWidth="1"/>
    <col min="9" max="9" width="9.140625" style="641" customWidth="1"/>
    <col min="10" max="10" width="8.57421875" style="641" customWidth="1"/>
    <col min="11" max="11" width="8.7109375" style="641" customWidth="1"/>
    <col min="12" max="16384" width="9.140625" style="641" customWidth="1"/>
  </cols>
  <sheetData>
    <row r="1" spans="1:11" ht="18.75">
      <c r="A1" s="1105" t="s">
        <v>547</v>
      </c>
      <c r="B1" s="1105"/>
      <c r="C1" s="78"/>
      <c r="D1" s="76"/>
      <c r="E1" s="76"/>
      <c r="F1" s="1106" t="s">
        <v>548</v>
      </c>
      <c r="G1" s="1106"/>
      <c r="H1" s="1106"/>
      <c r="I1" s="1106"/>
      <c r="J1" s="1106"/>
      <c r="K1" s="1106"/>
    </row>
    <row r="2" spans="1:11" ht="21" customHeight="1">
      <c r="A2" s="1107" t="s">
        <v>549</v>
      </c>
      <c r="B2" s="1107"/>
      <c r="C2" s="1107"/>
      <c r="D2" s="1107"/>
      <c r="E2" s="1107"/>
      <c r="F2" s="1107"/>
      <c r="G2" s="1107"/>
      <c r="H2" s="1107"/>
      <c r="I2" s="1107"/>
      <c r="J2" s="1107"/>
      <c r="K2" s="1107"/>
    </row>
    <row r="3" spans="1:11" ht="18.75" customHeight="1">
      <c r="A3" s="1108"/>
      <c r="B3" s="1108"/>
      <c r="C3" s="1108"/>
      <c r="D3" s="1108"/>
      <c r="E3" s="1108"/>
      <c r="F3" s="1108"/>
      <c r="G3" s="1108"/>
      <c r="H3" s="1108"/>
      <c r="I3" s="1108"/>
      <c r="J3" s="1108"/>
      <c r="K3" s="1108"/>
    </row>
    <row r="4" spans="1:11" ht="24" customHeight="1">
      <c r="A4" s="77"/>
      <c r="B4" s="77"/>
      <c r="C4" s="76"/>
      <c r="D4" s="76"/>
      <c r="E4" s="76"/>
      <c r="F4" s="1097" t="s">
        <v>802</v>
      </c>
      <c r="G4" s="1097"/>
      <c r="H4" s="1097"/>
      <c r="I4" s="1097"/>
      <c r="J4" s="1097"/>
      <c r="K4" s="1097"/>
    </row>
    <row r="5" spans="1:11" ht="20.25" customHeight="1">
      <c r="A5" s="1093" t="s">
        <v>1038</v>
      </c>
      <c r="B5" s="1093" t="s">
        <v>550</v>
      </c>
      <c r="C5" s="1100" t="s">
        <v>551</v>
      </c>
      <c r="D5" s="1101"/>
      <c r="E5" s="1102"/>
      <c r="F5" s="1095" t="s">
        <v>552</v>
      </c>
      <c r="G5" s="1103"/>
      <c r="H5" s="1096"/>
      <c r="I5" s="1095" t="s">
        <v>553</v>
      </c>
      <c r="J5" s="1103"/>
      <c r="K5" s="1096"/>
    </row>
    <row r="6" spans="1:11" ht="18" customHeight="1">
      <c r="A6" s="1098"/>
      <c r="B6" s="1098"/>
      <c r="C6" s="1093" t="s">
        <v>807</v>
      </c>
      <c r="D6" s="1095" t="s">
        <v>554</v>
      </c>
      <c r="E6" s="1096"/>
      <c r="F6" s="1093" t="s">
        <v>807</v>
      </c>
      <c r="G6" s="1095" t="s">
        <v>554</v>
      </c>
      <c r="H6" s="1096"/>
      <c r="I6" s="1093" t="s">
        <v>807</v>
      </c>
      <c r="J6" s="1095" t="s">
        <v>554</v>
      </c>
      <c r="K6" s="1096"/>
    </row>
    <row r="7" spans="1:11" ht="22.5" customHeight="1">
      <c r="A7" s="1099"/>
      <c r="B7" s="1099"/>
      <c r="C7" s="1104"/>
      <c r="D7" s="652" t="s">
        <v>555</v>
      </c>
      <c r="E7" s="652" t="s">
        <v>556</v>
      </c>
      <c r="F7" s="1094"/>
      <c r="G7" s="652" t="s">
        <v>555</v>
      </c>
      <c r="H7" s="652" t="s">
        <v>556</v>
      </c>
      <c r="I7" s="1094" t="s">
        <v>557</v>
      </c>
      <c r="J7" s="652" t="s">
        <v>555</v>
      </c>
      <c r="K7" s="652" t="s">
        <v>556</v>
      </c>
    </row>
    <row r="8" spans="1:11" ht="24.75" customHeight="1">
      <c r="A8" s="653"/>
      <c r="B8" s="654" t="s">
        <v>558</v>
      </c>
      <c r="C8" s="655">
        <f aca="true" t="shared" si="0" ref="C8:H8">SUM(C9,C13:C14,C18,C19,C20:C22)</f>
        <v>6651424</v>
      </c>
      <c r="D8" s="655">
        <f t="shared" si="0"/>
        <v>3246335</v>
      </c>
      <c r="E8" s="655">
        <f t="shared" si="0"/>
        <v>3405089</v>
      </c>
      <c r="F8" s="656">
        <f t="shared" si="0"/>
        <v>9016790.67</v>
      </c>
      <c r="G8" s="656">
        <f>SUM(G9,G13,G14,G18,G19,G20:G22)</f>
        <v>4252863.63</v>
      </c>
      <c r="H8" s="656">
        <f t="shared" si="0"/>
        <v>4763927.04</v>
      </c>
      <c r="I8" s="657">
        <f aca="true" t="shared" si="1" ref="I8:K9">SUM(F8/C8)</f>
        <v>1.3556180856911242</v>
      </c>
      <c r="J8" s="657">
        <f t="shared" si="1"/>
        <v>1.3100507587787458</v>
      </c>
      <c r="K8" s="657">
        <f t="shared" si="1"/>
        <v>1.3990609467182795</v>
      </c>
    </row>
    <row r="9" spans="1:11" s="660" customFormat="1" ht="18" customHeight="1">
      <c r="A9" s="658" t="s">
        <v>952</v>
      </c>
      <c r="B9" s="619" t="s">
        <v>808</v>
      </c>
      <c r="C9" s="659">
        <f>SUM(D9:E9)</f>
        <v>1294846</v>
      </c>
      <c r="D9" s="659">
        <f>157671+1123350</f>
        <v>1281021</v>
      </c>
      <c r="E9" s="659">
        <f>13825</f>
        <v>13825</v>
      </c>
      <c r="F9" s="620">
        <f>SUM(G9:H9)</f>
        <v>1423085.32</v>
      </c>
      <c r="G9" s="620">
        <v>905252.91</v>
      </c>
      <c r="H9" s="620">
        <v>517832.41</v>
      </c>
      <c r="I9" s="617">
        <f t="shared" si="1"/>
        <v>1.0990382794556264</v>
      </c>
      <c r="J9" s="617">
        <f t="shared" si="1"/>
        <v>0.7066651600559242</v>
      </c>
      <c r="K9" s="617">
        <f t="shared" si="1"/>
        <v>37.456232188065094</v>
      </c>
    </row>
    <row r="10" spans="1:11" ht="18" customHeight="1">
      <c r="A10" s="661"/>
      <c r="B10" s="613" t="s">
        <v>945</v>
      </c>
      <c r="C10" s="662"/>
      <c r="D10" s="662"/>
      <c r="E10" s="662"/>
      <c r="F10" s="615"/>
      <c r="G10" s="615"/>
      <c r="H10" s="615"/>
      <c r="I10" s="616"/>
      <c r="J10" s="616"/>
      <c r="K10" s="616"/>
    </row>
    <row r="11" spans="1:11" ht="18" customHeight="1">
      <c r="A11" s="661">
        <v>1</v>
      </c>
      <c r="B11" s="613" t="s">
        <v>559</v>
      </c>
      <c r="C11" s="662">
        <f>SUM(D11:E11)</f>
        <v>54000</v>
      </c>
      <c r="D11" s="662">
        <v>46375</v>
      </c>
      <c r="E11" s="662">
        <v>7625</v>
      </c>
      <c r="F11" s="615">
        <f>SUM(G11:H11)</f>
        <v>108758.1</v>
      </c>
      <c r="G11" s="615">
        <v>58924.93</v>
      </c>
      <c r="H11" s="615">
        <v>49833.17</v>
      </c>
      <c r="I11" s="616">
        <f>SUM(F11/C11)</f>
        <v>2.014038888888889</v>
      </c>
      <c r="J11" s="616">
        <f>SUM(G11/D11)</f>
        <v>1.270618436657682</v>
      </c>
      <c r="K11" s="616">
        <f>SUM(H11/E11)</f>
        <v>6.535497704918033</v>
      </c>
    </row>
    <row r="12" spans="1:11" ht="18" customHeight="1">
      <c r="A12" s="661">
        <v>2</v>
      </c>
      <c r="B12" s="613" t="s">
        <v>560</v>
      </c>
      <c r="C12" s="662">
        <f>SUM(D12:E12)</f>
        <v>9000</v>
      </c>
      <c r="D12" s="662">
        <v>9000</v>
      </c>
      <c r="E12" s="662"/>
      <c r="F12" s="615">
        <f>SUM(G12:H12)</f>
        <v>8363.62</v>
      </c>
      <c r="G12" s="615">
        <v>8363.62</v>
      </c>
      <c r="H12" s="615"/>
      <c r="I12" s="616">
        <f aca="true" t="shared" si="2" ref="I12:J14">SUM(F12/C12)</f>
        <v>0.9292911111111112</v>
      </c>
      <c r="J12" s="616">
        <f t="shared" si="2"/>
        <v>0.9292911111111112</v>
      </c>
      <c r="K12" s="616"/>
    </row>
    <row r="13" spans="1:11" s="660" customFormat="1" ht="33" customHeight="1">
      <c r="A13" s="663" t="s">
        <v>1012</v>
      </c>
      <c r="B13" s="664" t="s">
        <v>561</v>
      </c>
      <c r="C13" s="665">
        <f>SUM(D13:E13)</f>
        <v>85354</v>
      </c>
      <c r="D13" s="665">
        <v>85354</v>
      </c>
      <c r="E13" s="665"/>
      <c r="F13" s="666">
        <f>SUM(G13:H13)</f>
        <v>105854.3</v>
      </c>
      <c r="G13" s="666">
        <v>105854.3</v>
      </c>
      <c r="H13" s="666"/>
      <c r="I13" s="667">
        <f t="shared" si="2"/>
        <v>1.2401797220985542</v>
      </c>
      <c r="J13" s="667">
        <f t="shared" si="2"/>
        <v>1.2401797220985542</v>
      </c>
      <c r="K13" s="667"/>
    </row>
    <row r="14" spans="1:11" s="660" customFormat="1" ht="18" customHeight="1">
      <c r="A14" s="658" t="s">
        <v>1637</v>
      </c>
      <c r="B14" s="619" t="s">
        <v>809</v>
      </c>
      <c r="C14" s="659">
        <f>SUM(D14:E14)</f>
        <v>5132544</v>
      </c>
      <c r="D14" s="659">
        <v>1799593</v>
      </c>
      <c r="E14" s="659">
        <v>3332951</v>
      </c>
      <c r="F14" s="620">
        <f>SUM(G14:H14)</f>
        <v>5669186.18</v>
      </c>
      <c r="G14" s="620">
        <v>1816503.99</v>
      </c>
      <c r="H14" s="668">
        <v>3852682.19</v>
      </c>
      <c r="I14" s="617">
        <f t="shared" si="2"/>
        <v>1.104556761715048</v>
      </c>
      <c r="J14" s="617">
        <f t="shared" si="2"/>
        <v>1.0093971192375164</v>
      </c>
      <c r="K14" s="617">
        <f>SUM(H14/E14)</f>
        <v>1.1559372430017723</v>
      </c>
    </row>
    <row r="15" spans="1:11" ht="18" customHeight="1">
      <c r="A15" s="661"/>
      <c r="B15" s="613" t="s">
        <v>945</v>
      </c>
      <c r="C15" s="662"/>
      <c r="D15" s="662"/>
      <c r="E15" s="662"/>
      <c r="F15" s="615"/>
      <c r="G15" s="615"/>
      <c r="H15" s="615"/>
      <c r="I15" s="616"/>
      <c r="J15" s="616"/>
      <c r="K15" s="616"/>
    </row>
    <row r="16" spans="1:11" ht="18" customHeight="1">
      <c r="A16" s="661">
        <v>1</v>
      </c>
      <c r="B16" s="613" t="s">
        <v>559</v>
      </c>
      <c r="C16" s="669">
        <f>SUM(D16:E16)</f>
        <v>2525345</v>
      </c>
      <c r="D16" s="670">
        <v>485128</v>
      </c>
      <c r="E16" s="671">
        <v>2040217</v>
      </c>
      <c r="F16" s="615">
        <f>SUM(G16:H16)</f>
        <v>2664120.77</v>
      </c>
      <c r="G16" s="615">
        <v>446207.75</v>
      </c>
      <c r="H16" s="615">
        <v>2217913.02</v>
      </c>
      <c r="I16" s="616">
        <f>SUM(F16/C16)</f>
        <v>1.0549531925340894</v>
      </c>
      <c r="J16" s="616">
        <f>SUM(G16/D16)</f>
        <v>0.919773235104962</v>
      </c>
      <c r="K16" s="616">
        <f>SUM(H16/E16)</f>
        <v>1.087096627466588</v>
      </c>
    </row>
    <row r="17" spans="1:11" ht="18" customHeight="1">
      <c r="A17" s="661">
        <v>2</v>
      </c>
      <c r="B17" s="613" t="s">
        <v>560</v>
      </c>
      <c r="C17" s="662">
        <f>SUM(D17:E17)</f>
        <v>14298</v>
      </c>
      <c r="D17" s="670">
        <v>14298</v>
      </c>
      <c r="E17" s="671"/>
      <c r="F17" s="615">
        <f>SUM(G17:H17)</f>
        <v>12738.72</v>
      </c>
      <c r="G17" s="615">
        <v>12738.72</v>
      </c>
      <c r="H17" s="615"/>
      <c r="I17" s="616">
        <f>SUM(F17/C17)</f>
        <v>0.8909441879983214</v>
      </c>
      <c r="J17" s="616">
        <f>SUM(G17/D17)</f>
        <v>0.8909441879983214</v>
      </c>
      <c r="K17" s="616"/>
    </row>
    <row r="18" spans="1:11" s="660" customFormat="1" ht="18" customHeight="1">
      <c r="A18" s="672" t="s">
        <v>468</v>
      </c>
      <c r="B18" s="673" t="s">
        <v>1097</v>
      </c>
      <c r="C18" s="674"/>
      <c r="D18" s="675"/>
      <c r="E18" s="675"/>
      <c r="F18" s="676">
        <f>SUM(G18:H18)</f>
        <v>1632761.01</v>
      </c>
      <c r="G18" s="676">
        <v>1271063.79</v>
      </c>
      <c r="H18" s="676">
        <f>336845.51+24851.71</f>
        <v>361697.22000000003</v>
      </c>
      <c r="I18" s="617"/>
      <c r="J18" s="617"/>
      <c r="K18" s="676"/>
    </row>
    <row r="19" spans="1:11" s="660" customFormat="1" ht="18" customHeight="1">
      <c r="A19" s="658" t="s">
        <v>774</v>
      </c>
      <c r="B19" s="619" t="s">
        <v>562</v>
      </c>
      <c r="C19" s="674">
        <f>SUM(D19:E19)</f>
        <v>1000</v>
      </c>
      <c r="D19" s="674">
        <v>1000</v>
      </c>
      <c r="E19" s="674"/>
      <c r="F19" s="675">
        <f>SUM(G19:H19)</f>
        <v>1000</v>
      </c>
      <c r="G19" s="674">
        <v>1000</v>
      </c>
      <c r="H19" s="620"/>
      <c r="I19" s="617">
        <f>SUM(F19/C19)</f>
        <v>1</v>
      </c>
      <c r="J19" s="617">
        <f>SUM(G19/D19)</f>
        <v>1</v>
      </c>
      <c r="K19" s="676"/>
    </row>
    <row r="20" spans="1:11" s="660" customFormat="1" ht="18" customHeight="1">
      <c r="A20" s="672" t="s">
        <v>563</v>
      </c>
      <c r="B20" s="673" t="s">
        <v>564</v>
      </c>
      <c r="C20" s="675"/>
      <c r="D20" s="675"/>
      <c r="E20" s="675"/>
      <c r="F20" s="676">
        <f>SUM(G20:H20)</f>
        <v>114032.07999999999</v>
      </c>
      <c r="G20" s="676">
        <v>100365.68</v>
      </c>
      <c r="H20" s="676">
        <v>13666.4</v>
      </c>
      <c r="I20" s="617"/>
      <c r="J20" s="635"/>
      <c r="K20" s="676"/>
    </row>
    <row r="21" spans="1:11" s="660" customFormat="1" ht="18" customHeight="1">
      <c r="A21" s="658" t="s">
        <v>563</v>
      </c>
      <c r="B21" s="619" t="s">
        <v>1110</v>
      </c>
      <c r="C21" s="674">
        <f>SUM(D21:E21)</f>
        <v>115180</v>
      </c>
      <c r="D21" s="677">
        <v>60787</v>
      </c>
      <c r="E21" s="678">
        <v>54393</v>
      </c>
      <c r="F21" s="676"/>
      <c r="G21" s="676"/>
      <c r="H21" s="676"/>
      <c r="I21" s="617"/>
      <c r="J21" s="636"/>
      <c r="K21" s="676"/>
    </row>
    <row r="22" spans="1:11" s="660" customFormat="1" ht="19.5" customHeight="1">
      <c r="A22" s="679" t="s">
        <v>565</v>
      </c>
      <c r="B22" s="680" t="s">
        <v>12</v>
      </c>
      <c r="C22" s="681">
        <f>SUM(D22:E22)</f>
        <v>22500</v>
      </c>
      <c r="D22" s="682">
        <v>18580</v>
      </c>
      <c r="E22" s="682">
        <v>3920</v>
      </c>
      <c r="F22" s="683">
        <f>SUM(G22:H22)</f>
        <v>70871.78</v>
      </c>
      <c r="G22" s="683">
        <v>52822.96</v>
      </c>
      <c r="H22" s="683">
        <v>18048.82</v>
      </c>
      <c r="I22" s="684"/>
      <c r="J22" s="685"/>
      <c r="K22" s="683"/>
    </row>
    <row r="23" spans="1:11" ht="18" customHeight="1">
      <c r="A23" s="686"/>
      <c r="B23" s="686"/>
      <c r="C23" s="687"/>
      <c r="D23" s="687"/>
      <c r="E23" s="687"/>
      <c r="F23" s="688"/>
      <c r="G23" s="688"/>
      <c r="H23" s="688"/>
      <c r="I23" s="688"/>
      <c r="J23" s="688"/>
      <c r="K23" s="688"/>
    </row>
    <row r="24" spans="5:11" ht="12" customHeight="1">
      <c r="E24" s="690"/>
      <c r="F24" s="691"/>
      <c r="G24" s="691"/>
      <c r="H24" s="691"/>
      <c r="I24" s="691"/>
      <c r="J24" s="691"/>
      <c r="K24" s="691"/>
    </row>
    <row r="25" spans="5:11" ht="15.75">
      <c r="E25" s="1041"/>
      <c r="F25" s="1041"/>
      <c r="G25" s="1041"/>
      <c r="H25" s="1041"/>
      <c r="I25" s="1041"/>
      <c r="J25" s="1041"/>
      <c r="K25" s="1041"/>
    </row>
    <row r="26" spans="5:11" ht="15.75">
      <c r="E26" s="1042"/>
      <c r="F26" s="1042"/>
      <c r="G26" s="1042"/>
      <c r="H26" s="1042"/>
      <c r="I26" s="1042"/>
      <c r="J26" s="1042"/>
      <c r="K26" s="1042"/>
    </row>
    <row r="27" spans="5:11" ht="12.75">
      <c r="E27" s="1043"/>
      <c r="F27" s="1043"/>
      <c r="G27" s="1043"/>
      <c r="H27" s="1043"/>
      <c r="I27" s="1043"/>
      <c r="J27" s="1043"/>
      <c r="K27" s="1043"/>
    </row>
  </sheetData>
  <sheetProtection/>
  <mergeCells count="19">
    <mergeCell ref="A1:B1"/>
    <mergeCell ref="F1:K1"/>
    <mergeCell ref="A2:K2"/>
    <mergeCell ref="A3:K3"/>
    <mergeCell ref="A5:A7"/>
    <mergeCell ref="B5:B7"/>
    <mergeCell ref="C5:E5"/>
    <mergeCell ref="F5:H5"/>
    <mergeCell ref="I5:K5"/>
    <mergeCell ref="C6:C7"/>
    <mergeCell ref="D6:E6"/>
    <mergeCell ref="F6:F7"/>
    <mergeCell ref="G6:H6"/>
    <mergeCell ref="E27:K27"/>
    <mergeCell ref="I6:I7"/>
    <mergeCell ref="J6:K6"/>
    <mergeCell ref="E25:K25"/>
    <mergeCell ref="E26:K26"/>
    <mergeCell ref="F4:K4"/>
  </mergeCells>
  <printOptions horizontalCentered="1"/>
  <pageMargins left="0.25" right="0.25" top="0.5" bottom="0.25" header="0.5" footer="0.5"/>
  <pageSetup horizontalDpi="600" verticalDpi="600" orientation="landscape" paperSize="9" scale="85" r:id="rId1"/>
</worksheet>
</file>

<file path=xl/worksheets/sheet5.xml><?xml version="1.0" encoding="utf-8"?>
<worksheet xmlns="http://schemas.openxmlformats.org/spreadsheetml/2006/main" xmlns:r="http://schemas.openxmlformats.org/officeDocument/2006/relationships">
  <dimension ref="A1:P113"/>
  <sheetViews>
    <sheetView zoomScalePageLayoutView="0" workbookViewId="0" topLeftCell="C1">
      <selection activeCell="T45" sqref="T45"/>
    </sheetView>
  </sheetViews>
  <sheetFormatPr defaultColWidth="9.140625" defaultRowHeight="12.75"/>
  <cols>
    <col min="1" max="1" width="3.57421875" style="699" customWidth="1"/>
    <col min="2" max="2" width="67.140625" style="699" customWidth="1"/>
    <col min="3" max="3" width="9.421875" style="699" customWidth="1"/>
    <col min="4" max="4" width="8.7109375" style="791" customWidth="1"/>
    <col min="5" max="5" width="8.57421875" style="699" customWidth="1"/>
    <col min="6" max="6" width="8.421875" style="791" customWidth="1"/>
    <col min="7" max="7" width="9.57421875" style="699" customWidth="1"/>
    <col min="8" max="8" width="8.28125" style="792" customWidth="1"/>
    <col min="9" max="9" width="8.00390625" style="793" customWidth="1"/>
    <col min="10" max="10" width="11.28125" style="794" customWidth="1"/>
    <col min="11" max="11" width="10.28125" style="794" customWidth="1"/>
    <col min="12" max="12" width="10.00390625" style="794" customWidth="1"/>
    <col min="13" max="13" width="9.7109375" style="795" customWidth="1"/>
    <col min="14" max="14" width="10.140625" style="794" customWidth="1"/>
    <col min="15" max="15" width="9.8515625" style="794" customWidth="1"/>
    <col min="16" max="16" width="9.7109375" style="794" customWidth="1"/>
    <col min="17" max="16384" width="9.140625" style="699" customWidth="1"/>
  </cols>
  <sheetData>
    <row r="1" spans="1:16" ht="21.75" customHeight="1">
      <c r="A1" s="692" t="s">
        <v>1114</v>
      </c>
      <c r="B1" s="693"/>
      <c r="C1" s="694"/>
      <c r="D1" s="695"/>
      <c r="E1" s="694"/>
      <c r="F1" s="695"/>
      <c r="G1" s="694"/>
      <c r="H1" s="696"/>
      <c r="I1" s="697"/>
      <c r="J1" s="698"/>
      <c r="K1" s="1106" t="s">
        <v>1490</v>
      </c>
      <c r="L1" s="1106"/>
      <c r="M1" s="1106"/>
      <c r="N1" s="1106"/>
      <c r="O1" s="1106"/>
      <c r="P1" s="1106"/>
    </row>
    <row r="2" spans="1:16" ht="21.75" customHeight="1">
      <c r="A2" s="1124" t="s">
        <v>1115</v>
      </c>
      <c r="B2" s="1124"/>
      <c r="C2" s="1124"/>
      <c r="D2" s="1124"/>
      <c r="E2" s="1124"/>
      <c r="F2" s="1124"/>
      <c r="G2" s="1124"/>
      <c r="H2" s="1124"/>
      <c r="I2" s="1124"/>
      <c r="J2" s="1124"/>
      <c r="K2" s="1124"/>
      <c r="L2" s="1124"/>
      <c r="M2" s="1124"/>
      <c r="N2" s="1124"/>
      <c r="O2" s="1124"/>
      <c r="P2" s="1124"/>
    </row>
    <row r="3" spans="1:16" ht="21.75" customHeight="1">
      <c r="A3" s="1124" t="s">
        <v>1116</v>
      </c>
      <c r="B3" s="1124"/>
      <c r="C3" s="1124"/>
      <c r="D3" s="1124"/>
      <c r="E3" s="1124"/>
      <c r="F3" s="1124"/>
      <c r="G3" s="1124"/>
      <c r="H3" s="1124"/>
      <c r="I3" s="1124"/>
      <c r="J3" s="1124"/>
      <c r="K3" s="1124"/>
      <c r="L3" s="1124"/>
      <c r="M3" s="1124"/>
      <c r="N3" s="1124"/>
      <c r="O3" s="1124"/>
      <c r="P3" s="1124"/>
    </row>
    <row r="4" spans="1:16" s="705" customFormat="1" ht="21.75" customHeight="1">
      <c r="A4" s="700"/>
      <c r="B4" s="700"/>
      <c r="C4" s="700"/>
      <c r="D4" s="701"/>
      <c r="E4" s="700"/>
      <c r="F4" s="701"/>
      <c r="G4" s="700"/>
      <c r="H4" s="702"/>
      <c r="I4" s="703"/>
      <c r="J4" s="704"/>
      <c r="K4" s="704"/>
      <c r="L4" s="1125" t="s">
        <v>802</v>
      </c>
      <c r="M4" s="1125"/>
      <c r="N4" s="1125"/>
      <c r="O4" s="1125"/>
      <c r="P4" s="1125"/>
    </row>
    <row r="5" spans="1:16" s="705" customFormat="1" ht="21.75" customHeight="1">
      <c r="A5" s="1118" t="s">
        <v>1038</v>
      </c>
      <c r="B5" s="1120" t="s">
        <v>550</v>
      </c>
      <c r="C5" s="1122" t="s">
        <v>1117</v>
      </c>
      <c r="D5" s="1117" t="s">
        <v>1118</v>
      </c>
      <c r="E5" s="1117"/>
      <c r="F5" s="1117"/>
      <c r="G5" s="1117"/>
      <c r="H5" s="1117"/>
      <c r="I5" s="1117"/>
      <c r="J5" s="1114" t="s">
        <v>1119</v>
      </c>
      <c r="K5" s="1116" t="s">
        <v>1118</v>
      </c>
      <c r="L5" s="1116"/>
      <c r="M5" s="1116"/>
      <c r="N5" s="1116"/>
      <c r="O5" s="1116"/>
      <c r="P5" s="1116"/>
    </row>
    <row r="6" spans="1:16" s="705" customFormat="1" ht="21.75" customHeight="1">
      <c r="A6" s="1119"/>
      <c r="B6" s="1121"/>
      <c r="C6" s="1123" t="s">
        <v>1120</v>
      </c>
      <c r="D6" s="1117" t="s">
        <v>1121</v>
      </c>
      <c r="E6" s="1117"/>
      <c r="F6" s="1117"/>
      <c r="G6" s="1117" t="s">
        <v>1122</v>
      </c>
      <c r="H6" s="1117"/>
      <c r="I6" s="1117"/>
      <c r="J6" s="1115"/>
      <c r="K6" s="1116" t="s">
        <v>1121</v>
      </c>
      <c r="L6" s="1116"/>
      <c r="M6" s="1116"/>
      <c r="N6" s="707"/>
      <c r="O6" s="707" t="s">
        <v>1122</v>
      </c>
      <c r="P6" s="707"/>
    </row>
    <row r="7" spans="1:16" s="705" customFormat="1" ht="21.75" customHeight="1">
      <c r="A7" s="1119"/>
      <c r="B7" s="1121"/>
      <c r="C7" s="1123"/>
      <c r="D7" s="708" t="s">
        <v>807</v>
      </c>
      <c r="E7" s="706" t="s">
        <v>1123</v>
      </c>
      <c r="F7" s="708" t="s">
        <v>1124</v>
      </c>
      <c r="G7" s="706" t="s">
        <v>807</v>
      </c>
      <c r="H7" s="709" t="s">
        <v>1125</v>
      </c>
      <c r="I7" s="710" t="s">
        <v>1124</v>
      </c>
      <c r="J7" s="1115"/>
      <c r="K7" s="707" t="s">
        <v>807</v>
      </c>
      <c r="L7" s="707" t="s">
        <v>1123</v>
      </c>
      <c r="M7" s="711" t="s">
        <v>1124</v>
      </c>
      <c r="N7" s="707" t="s">
        <v>807</v>
      </c>
      <c r="O7" s="707" t="s">
        <v>1126</v>
      </c>
      <c r="P7" s="707" t="s">
        <v>1124</v>
      </c>
    </row>
    <row r="8" spans="1:16" s="716" customFormat="1" ht="16.5" customHeight="1">
      <c r="A8" s="712"/>
      <c r="B8" s="713" t="s">
        <v>1046</v>
      </c>
      <c r="C8" s="714">
        <f aca="true" t="shared" si="0" ref="C8:P8">SUM(C9,C45,C46)</f>
        <v>1381365</v>
      </c>
      <c r="D8" s="714">
        <f t="shared" si="0"/>
        <v>1286899</v>
      </c>
      <c r="E8" s="714">
        <f t="shared" si="0"/>
        <v>1123350</v>
      </c>
      <c r="F8" s="714">
        <f t="shared" si="0"/>
        <v>163549</v>
      </c>
      <c r="G8" s="714">
        <f t="shared" si="0"/>
        <v>94466</v>
      </c>
      <c r="H8" s="714">
        <f t="shared" si="0"/>
        <v>0</v>
      </c>
      <c r="I8" s="714">
        <f t="shared" si="0"/>
        <v>94466</v>
      </c>
      <c r="J8" s="715">
        <f t="shared" si="0"/>
        <v>1433228.421</v>
      </c>
      <c r="K8" s="715">
        <f t="shared" si="0"/>
        <v>783789.06</v>
      </c>
      <c r="L8" s="715">
        <f t="shared" si="0"/>
        <v>651626.0999999999</v>
      </c>
      <c r="M8" s="715">
        <f t="shared" si="0"/>
        <v>132162.96000000002</v>
      </c>
      <c r="N8" s="715">
        <f t="shared" si="0"/>
        <v>649439.361</v>
      </c>
      <c r="O8" s="715">
        <f t="shared" si="0"/>
        <v>491815.86</v>
      </c>
      <c r="P8" s="715">
        <f t="shared" si="0"/>
        <v>157623.501</v>
      </c>
    </row>
    <row r="9" spans="1:16" s="720" customFormat="1" ht="16.5" customHeight="1">
      <c r="A9" s="717" t="s">
        <v>952</v>
      </c>
      <c r="B9" s="717" t="s">
        <v>1127</v>
      </c>
      <c r="C9" s="718">
        <f aca="true" t="shared" si="1" ref="C9:P9">SUM(C10,C21,C34:C44)</f>
        <v>409936</v>
      </c>
      <c r="D9" s="718">
        <f t="shared" si="1"/>
        <v>347909</v>
      </c>
      <c r="E9" s="718">
        <f t="shared" si="1"/>
        <v>254210</v>
      </c>
      <c r="F9" s="718">
        <f t="shared" si="1"/>
        <v>93699</v>
      </c>
      <c r="G9" s="718">
        <f t="shared" si="1"/>
        <v>62027</v>
      </c>
      <c r="H9" s="718">
        <f t="shared" si="1"/>
        <v>0</v>
      </c>
      <c r="I9" s="718">
        <f t="shared" si="1"/>
        <v>62027</v>
      </c>
      <c r="J9" s="719">
        <f t="shared" si="1"/>
        <v>436860.911</v>
      </c>
      <c r="K9" s="719">
        <f t="shared" si="1"/>
        <v>49004.95000000001</v>
      </c>
      <c r="L9" s="719">
        <f t="shared" si="1"/>
        <v>1510.33</v>
      </c>
      <c r="M9" s="718">
        <f t="shared" si="1"/>
        <v>47494.62000000001</v>
      </c>
      <c r="N9" s="719">
        <f t="shared" si="1"/>
        <v>387855.961</v>
      </c>
      <c r="O9" s="719">
        <f t="shared" si="1"/>
        <v>273925</v>
      </c>
      <c r="P9" s="719">
        <f t="shared" si="1"/>
        <v>113930.961</v>
      </c>
    </row>
    <row r="10" spans="1:16" s="700" customFormat="1" ht="16.5" customHeight="1">
      <c r="A10" s="721">
        <v>1</v>
      </c>
      <c r="B10" s="721" t="s">
        <v>1128</v>
      </c>
      <c r="C10" s="722">
        <f>SUM(C11,C14:C15,C19:C20)</f>
        <v>326486</v>
      </c>
      <c r="D10" s="722">
        <f aca="true" t="shared" si="2" ref="D10:P10">SUM(D11,D14:D15,D19:D20)</f>
        <v>278618</v>
      </c>
      <c r="E10" s="722">
        <f t="shared" si="2"/>
        <v>240510</v>
      </c>
      <c r="F10" s="722">
        <f t="shared" si="2"/>
        <v>38108</v>
      </c>
      <c r="G10" s="722">
        <f t="shared" si="2"/>
        <v>47868</v>
      </c>
      <c r="H10" s="722">
        <f t="shared" si="2"/>
        <v>0</v>
      </c>
      <c r="I10" s="722">
        <f t="shared" si="2"/>
        <v>47868</v>
      </c>
      <c r="J10" s="723">
        <f t="shared" si="2"/>
        <v>360201.69</v>
      </c>
      <c r="K10" s="722">
        <f t="shared" si="2"/>
        <v>130</v>
      </c>
      <c r="L10" s="722"/>
      <c r="M10" s="722">
        <f t="shared" si="2"/>
        <v>130</v>
      </c>
      <c r="N10" s="723">
        <f t="shared" si="2"/>
        <v>360071.69</v>
      </c>
      <c r="O10" s="723">
        <f t="shared" si="2"/>
        <v>258277.52</v>
      </c>
      <c r="P10" s="723">
        <f t="shared" si="2"/>
        <v>101794.17</v>
      </c>
    </row>
    <row r="11" spans="1:16" s="700" customFormat="1" ht="16.5" customHeight="1">
      <c r="A11" s="721"/>
      <c r="B11" s="721" t="s">
        <v>1129</v>
      </c>
      <c r="C11" s="722">
        <f aca="true" t="shared" si="3" ref="C11:P11">SUM(C12:C13)</f>
        <v>181928</v>
      </c>
      <c r="D11" s="722">
        <f t="shared" si="3"/>
        <v>135310</v>
      </c>
      <c r="E11" s="722">
        <f t="shared" si="3"/>
        <v>135310</v>
      </c>
      <c r="F11" s="722">
        <f t="shared" si="3"/>
        <v>0</v>
      </c>
      <c r="G11" s="722">
        <f t="shared" si="3"/>
        <v>46618</v>
      </c>
      <c r="H11" s="722">
        <f t="shared" si="3"/>
        <v>0</v>
      </c>
      <c r="I11" s="722">
        <f t="shared" si="3"/>
        <v>46618</v>
      </c>
      <c r="J11" s="723">
        <f t="shared" si="3"/>
        <v>178781.71</v>
      </c>
      <c r="K11" s="722"/>
      <c r="L11" s="722"/>
      <c r="M11" s="722"/>
      <c r="N11" s="723">
        <f t="shared" si="3"/>
        <v>178781.71</v>
      </c>
      <c r="O11" s="723">
        <f t="shared" si="3"/>
        <v>125942.63</v>
      </c>
      <c r="P11" s="723">
        <f t="shared" si="3"/>
        <v>52839.08</v>
      </c>
    </row>
    <row r="12" spans="1:16" s="700" customFormat="1" ht="16.5" customHeight="1">
      <c r="A12" s="721"/>
      <c r="B12" s="721" t="s">
        <v>1130</v>
      </c>
      <c r="C12" s="722">
        <f>SUM(D12,G12)</f>
        <v>146110</v>
      </c>
      <c r="D12" s="724">
        <f>SUM(E12:F12)</f>
        <v>135310</v>
      </c>
      <c r="E12" s="725">
        <v>135310</v>
      </c>
      <c r="F12" s="725"/>
      <c r="G12" s="722">
        <f>SUM(H12:I12)</f>
        <v>10800</v>
      </c>
      <c r="H12" s="722"/>
      <c r="I12" s="722">
        <v>10800</v>
      </c>
      <c r="J12" s="726">
        <f>SUM(K12,N12)</f>
        <v>136801.34</v>
      </c>
      <c r="K12" s="727"/>
      <c r="L12" s="728"/>
      <c r="M12" s="728"/>
      <c r="N12" s="726">
        <f>SUM(O12:P12)</f>
        <v>136801.34</v>
      </c>
      <c r="O12" s="728">
        <v>125942.63</v>
      </c>
      <c r="P12" s="728">
        <v>10858.71</v>
      </c>
    </row>
    <row r="13" spans="1:16" s="700" customFormat="1" ht="16.5" customHeight="1">
      <c r="A13" s="721"/>
      <c r="B13" s="721" t="s">
        <v>1131</v>
      </c>
      <c r="C13" s="722">
        <f>SUM(D13,G13)</f>
        <v>35818</v>
      </c>
      <c r="D13" s="724"/>
      <c r="E13" s="725"/>
      <c r="F13" s="725"/>
      <c r="G13" s="722">
        <f>SUM(H13:I13)</f>
        <v>35818</v>
      </c>
      <c r="H13" s="722"/>
      <c r="I13" s="722">
        <v>35818</v>
      </c>
      <c r="J13" s="726">
        <f>SUM(K13,N13)</f>
        <v>41980.37</v>
      </c>
      <c r="K13" s="727"/>
      <c r="L13" s="728"/>
      <c r="M13" s="728"/>
      <c r="N13" s="726">
        <f>SUM(O13:P13)</f>
        <v>41980.37</v>
      </c>
      <c r="O13" s="728"/>
      <c r="P13" s="728">
        <v>41980.37</v>
      </c>
    </row>
    <row r="14" spans="1:16" s="700" customFormat="1" ht="16.5" customHeight="1">
      <c r="A14" s="721"/>
      <c r="B14" s="729" t="s">
        <v>1132</v>
      </c>
      <c r="C14" s="730"/>
      <c r="D14" s="731"/>
      <c r="E14" s="732"/>
      <c r="F14" s="731"/>
      <c r="G14" s="730"/>
      <c r="H14" s="731"/>
      <c r="I14" s="731"/>
      <c r="J14" s="727">
        <f>N14+K14</f>
        <v>0</v>
      </c>
      <c r="K14" s="727"/>
      <c r="L14" s="733"/>
      <c r="M14" s="734"/>
      <c r="N14" s="727"/>
      <c r="O14" s="727"/>
      <c r="P14" s="735"/>
    </row>
    <row r="15" spans="1:16" s="700" customFormat="1" ht="16.5" customHeight="1">
      <c r="A15" s="721"/>
      <c r="B15" s="721" t="s">
        <v>1133</v>
      </c>
      <c r="C15" s="722">
        <f>SUM(C16:C18)</f>
        <v>143178</v>
      </c>
      <c r="D15" s="722">
        <f aca="true" t="shared" si="4" ref="D15:P15">SUM(D16:D18)</f>
        <v>143178</v>
      </c>
      <c r="E15" s="722">
        <f t="shared" si="4"/>
        <v>105200</v>
      </c>
      <c r="F15" s="722">
        <f t="shared" si="4"/>
        <v>37978</v>
      </c>
      <c r="G15" s="722">
        <f t="shared" si="4"/>
        <v>0</v>
      </c>
      <c r="H15" s="722">
        <f t="shared" si="4"/>
        <v>0</v>
      </c>
      <c r="I15" s="722">
        <f t="shared" si="4"/>
        <v>0</v>
      </c>
      <c r="J15" s="723">
        <f t="shared" si="4"/>
        <v>180113.59</v>
      </c>
      <c r="K15" s="723">
        <f t="shared" si="4"/>
        <v>0</v>
      </c>
      <c r="L15" s="723">
        <f t="shared" si="4"/>
        <v>0</v>
      </c>
      <c r="M15" s="723">
        <f t="shared" si="4"/>
        <v>0</v>
      </c>
      <c r="N15" s="723">
        <f t="shared" si="4"/>
        <v>180113.59</v>
      </c>
      <c r="O15" s="723">
        <f t="shared" si="4"/>
        <v>132334.88999999998</v>
      </c>
      <c r="P15" s="723">
        <f t="shared" si="4"/>
        <v>47778.7</v>
      </c>
    </row>
    <row r="16" spans="1:16" s="700" customFormat="1" ht="16.5" customHeight="1">
      <c r="A16" s="721"/>
      <c r="B16" s="721" t="s">
        <v>1130</v>
      </c>
      <c r="C16" s="722">
        <f>SUM(D16,G16)</f>
        <v>111756</v>
      </c>
      <c r="D16" s="724">
        <f>SUM(E16:F16)</f>
        <v>111756</v>
      </c>
      <c r="E16" s="725">
        <v>105200</v>
      </c>
      <c r="F16" s="725">
        <v>6556</v>
      </c>
      <c r="G16" s="722"/>
      <c r="H16" s="722"/>
      <c r="I16" s="722"/>
      <c r="J16" s="726">
        <f>SUM(K16,N16)</f>
        <v>119208.83</v>
      </c>
      <c r="K16" s="726"/>
      <c r="L16" s="723"/>
      <c r="M16" s="723"/>
      <c r="N16" s="726">
        <f>SUM(O16:P16)</f>
        <v>119208.83</v>
      </c>
      <c r="O16" s="723">
        <v>112466.95</v>
      </c>
      <c r="P16" s="723">
        <v>6741.88</v>
      </c>
    </row>
    <row r="17" spans="1:16" s="700" customFormat="1" ht="16.5" customHeight="1">
      <c r="A17" s="721"/>
      <c r="B17" s="721" t="s">
        <v>1134</v>
      </c>
      <c r="C17" s="722"/>
      <c r="D17" s="724"/>
      <c r="E17" s="725"/>
      <c r="F17" s="725"/>
      <c r="G17" s="722"/>
      <c r="H17" s="722"/>
      <c r="I17" s="722"/>
      <c r="J17" s="726">
        <f>SUM(K17,N17)</f>
        <v>19867.94</v>
      </c>
      <c r="K17" s="726"/>
      <c r="L17" s="723"/>
      <c r="M17" s="723"/>
      <c r="N17" s="726">
        <f>SUM(O17:P17)</f>
        <v>19867.94</v>
      </c>
      <c r="O17" s="723">
        <v>19867.94</v>
      </c>
      <c r="P17" s="723"/>
    </row>
    <row r="18" spans="1:16" s="700" customFormat="1" ht="16.5" customHeight="1">
      <c r="A18" s="721"/>
      <c r="B18" s="721" t="s">
        <v>1135</v>
      </c>
      <c r="C18" s="722">
        <f>SUM(D18,G18)</f>
        <v>31422</v>
      </c>
      <c r="D18" s="724">
        <f>SUM(E18:F18)</f>
        <v>31422</v>
      </c>
      <c r="E18" s="725"/>
      <c r="F18" s="725">
        <v>31422</v>
      </c>
      <c r="G18" s="722"/>
      <c r="H18" s="722"/>
      <c r="I18" s="722"/>
      <c r="J18" s="726">
        <f>SUM(K18,N18)</f>
        <v>41036.82</v>
      </c>
      <c r="K18" s="726"/>
      <c r="L18" s="723"/>
      <c r="M18" s="723"/>
      <c r="N18" s="726">
        <f>SUM(O18:P18)</f>
        <v>41036.82</v>
      </c>
      <c r="O18" s="723"/>
      <c r="P18" s="723">
        <v>41036.82</v>
      </c>
    </row>
    <row r="19" spans="1:16" s="700" customFormat="1" ht="16.5" customHeight="1">
      <c r="A19" s="721"/>
      <c r="B19" s="721" t="s">
        <v>1136</v>
      </c>
      <c r="C19" s="722">
        <f>SUM(D19,G19)</f>
        <v>1000</v>
      </c>
      <c r="D19" s="724"/>
      <c r="E19" s="725"/>
      <c r="F19" s="725"/>
      <c r="G19" s="722">
        <f>SUM(H19:I19)</f>
        <v>1000</v>
      </c>
      <c r="H19" s="722"/>
      <c r="I19" s="722">
        <v>1000</v>
      </c>
      <c r="J19" s="726">
        <f>SUM(K19,N19)</f>
        <v>987.06</v>
      </c>
      <c r="K19" s="727"/>
      <c r="L19" s="728"/>
      <c r="M19" s="728"/>
      <c r="N19" s="727">
        <f>SUM(O19:P19)</f>
        <v>987.06</v>
      </c>
      <c r="O19" s="728"/>
      <c r="P19" s="728">
        <v>987.06</v>
      </c>
    </row>
    <row r="20" spans="1:16" s="700" customFormat="1" ht="16.5" customHeight="1">
      <c r="A20" s="721"/>
      <c r="B20" s="721" t="s">
        <v>1137</v>
      </c>
      <c r="C20" s="722">
        <f>SUM(D20,G20)</f>
        <v>380</v>
      </c>
      <c r="D20" s="722">
        <f>SUM(E20:F20)</f>
        <v>130</v>
      </c>
      <c r="E20" s="722"/>
      <c r="F20" s="722">
        <v>130</v>
      </c>
      <c r="G20" s="722">
        <f>SUM(H20:I20)</f>
        <v>250</v>
      </c>
      <c r="H20" s="722"/>
      <c r="I20" s="722">
        <v>250</v>
      </c>
      <c r="J20" s="726">
        <f>SUM(K20,N20)</f>
        <v>319.33000000000004</v>
      </c>
      <c r="K20" s="722">
        <f>SUM(L20:M20)</f>
        <v>130</v>
      </c>
      <c r="L20" s="722"/>
      <c r="M20" s="722">
        <v>130</v>
      </c>
      <c r="N20" s="723">
        <f>SUM(O20:P20)</f>
        <v>189.33</v>
      </c>
      <c r="O20" s="723"/>
      <c r="P20" s="723">
        <v>189.33</v>
      </c>
    </row>
    <row r="21" spans="1:16" s="700" customFormat="1" ht="16.5" customHeight="1">
      <c r="A21" s="721">
        <v>2</v>
      </c>
      <c r="B21" s="721" t="s">
        <v>1138</v>
      </c>
      <c r="C21" s="722">
        <f>SUM(C22:C25,C31)</f>
        <v>13860</v>
      </c>
      <c r="D21" s="722">
        <f aca="true" t="shared" si="5" ref="D21:P21">SUM(D22:D25,D31)</f>
        <v>8770</v>
      </c>
      <c r="E21" s="722">
        <f t="shared" si="5"/>
        <v>0</v>
      </c>
      <c r="F21" s="722">
        <f t="shared" si="5"/>
        <v>8770</v>
      </c>
      <c r="G21" s="722">
        <f t="shared" si="5"/>
        <v>5090</v>
      </c>
      <c r="H21" s="722">
        <f t="shared" si="5"/>
        <v>0</v>
      </c>
      <c r="I21" s="722">
        <f t="shared" si="5"/>
        <v>5090</v>
      </c>
      <c r="J21" s="723">
        <f t="shared" si="5"/>
        <v>4961.41</v>
      </c>
      <c r="K21" s="723">
        <f t="shared" si="5"/>
        <v>1157.72</v>
      </c>
      <c r="L21" s="723"/>
      <c r="M21" s="723">
        <f t="shared" si="5"/>
        <v>1157.72</v>
      </c>
      <c r="N21" s="723">
        <f t="shared" si="5"/>
        <v>3803.69</v>
      </c>
      <c r="O21" s="723">
        <f t="shared" si="5"/>
        <v>0</v>
      </c>
      <c r="P21" s="723">
        <f t="shared" si="5"/>
        <v>3803.69</v>
      </c>
    </row>
    <row r="22" spans="1:16" s="700" customFormat="1" ht="16.5" customHeight="1">
      <c r="A22" s="721"/>
      <c r="B22" s="721" t="s">
        <v>1139</v>
      </c>
      <c r="C22" s="722">
        <f aca="true" t="shared" si="6" ref="C22:C33">SUM(D22,G22)</f>
        <v>7000</v>
      </c>
      <c r="D22" s="724">
        <f>SUM(E22:F22)</f>
        <v>7000</v>
      </c>
      <c r="E22" s="736"/>
      <c r="F22" s="736">
        <v>7000</v>
      </c>
      <c r="G22" s="722"/>
      <c r="H22" s="736"/>
      <c r="I22" s="736"/>
      <c r="J22" s="726">
        <f>SUM(K22,N22)</f>
        <v>134.94</v>
      </c>
      <c r="K22" s="723">
        <f>SUM(L22:M22)</f>
        <v>134.94</v>
      </c>
      <c r="L22" s="726"/>
      <c r="M22" s="726">
        <v>134.94</v>
      </c>
      <c r="N22" s="727"/>
      <c r="O22" s="726"/>
      <c r="P22" s="726"/>
    </row>
    <row r="23" spans="1:16" s="700" customFormat="1" ht="16.5" customHeight="1">
      <c r="A23" s="721"/>
      <c r="B23" s="721" t="s">
        <v>1140</v>
      </c>
      <c r="C23" s="722">
        <f t="shared" si="6"/>
        <v>170</v>
      </c>
      <c r="D23" s="724"/>
      <c r="E23" s="736"/>
      <c r="F23" s="736"/>
      <c r="G23" s="722">
        <f>SUM(H23:I23)</f>
        <v>170</v>
      </c>
      <c r="H23" s="736"/>
      <c r="I23" s="736">
        <v>170</v>
      </c>
      <c r="J23" s="726">
        <f>SUM(K23,N23)</f>
        <v>101.28</v>
      </c>
      <c r="K23" s="727"/>
      <c r="L23" s="726"/>
      <c r="M23" s="726"/>
      <c r="N23" s="727">
        <f>SUM(O23:P23)</f>
        <v>101.28</v>
      </c>
      <c r="O23" s="726"/>
      <c r="P23" s="726">
        <v>101.28</v>
      </c>
    </row>
    <row r="24" spans="1:16" s="700" customFormat="1" ht="16.5" customHeight="1">
      <c r="A24" s="721"/>
      <c r="B24" s="721" t="s">
        <v>1141</v>
      </c>
      <c r="C24" s="722">
        <f t="shared" si="6"/>
        <v>350</v>
      </c>
      <c r="D24" s="724"/>
      <c r="E24" s="736"/>
      <c r="F24" s="736"/>
      <c r="G24" s="722">
        <f>SUM(H24:I24)</f>
        <v>350</v>
      </c>
      <c r="H24" s="736"/>
      <c r="I24" s="736">
        <v>350</v>
      </c>
      <c r="J24" s="726"/>
      <c r="K24" s="727"/>
      <c r="L24" s="726"/>
      <c r="M24" s="726"/>
      <c r="N24" s="727"/>
      <c r="O24" s="726"/>
      <c r="P24" s="726"/>
    </row>
    <row r="25" spans="1:16" s="700" customFormat="1" ht="16.5" customHeight="1">
      <c r="A25" s="721"/>
      <c r="B25" s="721" t="s">
        <v>1142</v>
      </c>
      <c r="C25" s="722">
        <f>SUM(C26:C30)</f>
        <v>6140</v>
      </c>
      <c r="D25" s="722">
        <f aca="true" t="shared" si="7" ref="D25:P25">SUM(D26:D30)</f>
        <v>1600</v>
      </c>
      <c r="E25" s="722">
        <f t="shared" si="7"/>
        <v>0</v>
      </c>
      <c r="F25" s="722">
        <f t="shared" si="7"/>
        <v>1600</v>
      </c>
      <c r="G25" s="722">
        <f t="shared" si="7"/>
        <v>4540</v>
      </c>
      <c r="H25" s="722">
        <f t="shared" si="7"/>
        <v>0</v>
      </c>
      <c r="I25" s="722">
        <f t="shared" si="7"/>
        <v>4540</v>
      </c>
      <c r="J25" s="723">
        <f t="shared" si="7"/>
        <v>4543.32</v>
      </c>
      <c r="K25" s="723">
        <f t="shared" si="7"/>
        <v>852.78</v>
      </c>
      <c r="L25" s="723"/>
      <c r="M25" s="723">
        <f t="shared" si="7"/>
        <v>852.78</v>
      </c>
      <c r="N25" s="722">
        <f t="shared" si="7"/>
        <v>3690.54</v>
      </c>
      <c r="O25" s="722">
        <f t="shared" si="7"/>
        <v>0</v>
      </c>
      <c r="P25" s="723">
        <f t="shared" si="7"/>
        <v>3690.54</v>
      </c>
    </row>
    <row r="26" spans="1:16" s="700" customFormat="1" ht="16.5" customHeight="1">
      <c r="A26" s="721"/>
      <c r="B26" s="721" t="s">
        <v>1143</v>
      </c>
      <c r="C26" s="722">
        <f t="shared" si="6"/>
        <v>150</v>
      </c>
      <c r="D26" s="724">
        <f>SUM(E26:F26)</f>
        <v>150</v>
      </c>
      <c r="E26" s="736"/>
      <c r="F26" s="736">
        <v>150</v>
      </c>
      <c r="G26" s="722"/>
      <c r="H26" s="736"/>
      <c r="I26" s="736"/>
      <c r="J26" s="726">
        <f>SUM(K26,N26)</f>
        <v>48</v>
      </c>
      <c r="K26" s="727">
        <f>SUM(L26:M26)</f>
        <v>48</v>
      </c>
      <c r="L26" s="726"/>
      <c r="M26" s="726">
        <v>48</v>
      </c>
      <c r="N26" s="727"/>
      <c r="O26" s="726"/>
      <c r="P26" s="726"/>
    </row>
    <row r="27" spans="1:16" s="700" customFormat="1" ht="16.5" customHeight="1">
      <c r="A27" s="721"/>
      <c r="B27" s="721" t="s">
        <v>1144</v>
      </c>
      <c r="C27" s="722">
        <f t="shared" si="6"/>
        <v>4540</v>
      </c>
      <c r="D27" s="724"/>
      <c r="E27" s="736"/>
      <c r="F27" s="736"/>
      <c r="G27" s="722">
        <f>SUM(H27:I27)</f>
        <v>4540</v>
      </c>
      <c r="H27" s="736"/>
      <c r="I27" s="736">
        <v>4540</v>
      </c>
      <c r="J27" s="726">
        <f>SUM(K27,N27)</f>
        <v>3690.54</v>
      </c>
      <c r="K27" s="727"/>
      <c r="L27" s="726"/>
      <c r="M27" s="726"/>
      <c r="N27" s="727">
        <f>SUM(O27:P27)</f>
        <v>3690.54</v>
      </c>
      <c r="O27" s="726"/>
      <c r="P27" s="726">
        <v>3690.54</v>
      </c>
    </row>
    <row r="28" spans="1:16" s="700" customFormat="1" ht="16.5" customHeight="1">
      <c r="A28" s="721"/>
      <c r="B28" s="721" t="s">
        <v>1145</v>
      </c>
      <c r="C28" s="722">
        <f t="shared" si="6"/>
        <v>800</v>
      </c>
      <c r="D28" s="724">
        <f>SUM(E28:F28)</f>
        <v>800</v>
      </c>
      <c r="E28" s="736"/>
      <c r="F28" s="736">
        <v>800</v>
      </c>
      <c r="G28" s="722"/>
      <c r="H28" s="736"/>
      <c r="I28" s="736"/>
      <c r="J28" s="726"/>
      <c r="K28" s="727"/>
      <c r="L28" s="726"/>
      <c r="M28" s="726"/>
      <c r="N28" s="727"/>
      <c r="O28" s="726"/>
      <c r="P28" s="726"/>
    </row>
    <row r="29" spans="1:16" s="700" customFormat="1" ht="16.5" customHeight="1">
      <c r="A29" s="721"/>
      <c r="B29" s="721" t="s">
        <v>1146</v>
      </c>
      <c r="C29" s="722">
        <f t="shared" si="6"/>
        <v>650</v>
      </c>
      <c r="D29" s="724">
        <f>SUM(E29:F29)</f>
        <v>650</v>
      </c>
      <c r="E29" s="736"/>
      <c r="F29" s="736">
        <v>650</v>
      </c>
      <c r="G29" s="722"/>
      <c r="H29" s="736"/>
      <c r="I29" s="736"/>
      <c r="J29" s="736">
        <f>SUM(K29,N29)</f>
        <v>650</v>
      </c>
      <c r="K29" s="736">
        <f>SUM(L29:M29)</f>
        <v>650</v>
      </c>
      <c r="L29" s="736"/>
      <c r="M29" s="736">
        <v>650</v>
      </c>
      <c r="N29" s="727"/>
      <c r="O29" s="726"/>
      <c r="P29" s="726"/>
    </row>
    <row r="30" spans="1:16" s="700" customFormat="1" ht="16.5" customHeight="1">
      <c r="A30" s="721"/>
      <c r="B30" s="721" t="s">
        <v>1147</v>
      </c>
      <c r="C30" s="722"/>
      <c r="D30" s="724"/>
      <c r="E30" s="736"/>
      <c r="F30" s="736"/>
      <c r="G30" s="722"/>
      <c r="H30" s="736"/>
      <c r="I30" s="736"/>
      <c r="J30" s="726">
        <f>SUM(K30,N30)</f>
        <v>154.78</v>
      </c>
      <c r="K30" s="726">
        <f>SUM(L30:M30)</f>
        <v>154.78</v>
      </c>
      <c r="L30" s="736"/>
      <c r="M30" s="726">
        <v>154.78</v>
      </c>
      <c r="N30" s="727"/>
      <c r="O30" s="726"/>
      <c r="P30" s="726"/>
    </row>
    <row r="31" spans="1:16" s="700" customFormat="1" ht="16.5" customHeight="1">
      <c r="A31" s="721"/>
      <c r="B31" s="721" t="s">
        <v>1148</v>
      </c>
      <c r="C31" s="722">
        <f>SUM(C32:C33)</f>
        <v>200</v>
      </c>
      <c r="D31" s="722">
        <f aca="true" t="shared" si="8" ref="D31:K31">SUM(D32:D33)</f>
        <v>170</v>
      </c>
      <c r="E31" s="722">
        <f t="shared" si="8"/>
        <v>0</v>
      </c>
      <c r="F31" s="722">
        <f t="shared" si="8"/>
        <v>170</v>
      </c>
      <c r="G31" s="722">
        <f t="shared" si="8"/>
        <v>30</v>
      </c>
      <c r="H31" s="722">
        <f t="shared" si="8"/>
        <v>0</v>
      </c>
      <c r="I31" s="722">
        <f t="shared" si="8"/>
        <v>30</v>
      </c>
      <c r="J31" s="723">
        <f t="shared" si="8"/>
        <v>181.87</v>
      </c>
      <c r="K31" s="722">
        <f t="shared" si="8"/>
        <v>170</v>
      </c>
      <c r="L31" s="722">
        <f>SUM(L32:L33)</f>
        <v>0</v>
      </c>
      <c r="M31" s="722">
        <f>SUM(M32:M33)</f>
        <v>170</v>
      </c>
      <c r="N31" s="723">
        <f>SUM(N32:N33)</f>
        <v>11.87</v>
      </c>
      <c r="O31" s="723">
        <f>SUM(O32:O33)</f>
        <v>0</v>
      </c>
      <c r="P31" s="723">
        <f>SUM(P32:P33)</f>
        <v>11.87</v>
      </c>
    </row>
    <row r="32" spans="1:16" s="700" customFormat="1" ht="16.5" customHeight="1">
      <c r="A32" s="721"/>
      <c r="B32" s="721" t="s">
        <v>1149</v>
      </c>
      <c r="C32" s="722">
        <f t="shared" si="6"/>
        <v>132</v>
      </c>
      <c r="D32" s="724">
        <f>SUM(E32:F32)</f>
        <v>132</v>
      </c>
      <c r="E32" s="736"/>
      <c r="F32" s="736">
        <v>132</v>
      </c>
      <c r="G32" s="722"/>
      <c r="H32" s="736"/>
      <c r="I32" s="736"/>
      <c r="J32" s="727">
        <f>SUM(K32,N32)</f>
        <v>132</v>
      </c>
      <c r="K32" s="737">
        <f>SUM(L32:M32)</f>
        <v>132</v>
      </c>
      <c r="L32" s="726"/>
      <c r="M32" s="726">
        <v>132</v>
      </c>
      <c r="N32" s="727"/>
      <c r="O32" s="726"/>
      <c r="P32" s="726"/>
    </row>
    <row r="33" spans="1:16" s="700" customFormat="1" ht="16.5" customHeight="1">
      <c r="A33" s="721"/>
      <c r="B33" s="721" t="s">
        <v>1150</v>
      </c>
      <c r="C33" s="722">
        <f t="shared" si="6"/>
        <v>68</v>
      </c>
      <c r="D33" s="724">
        <f>SUM(E33:F33)</f>
        <v>38</v>
      </c>
      <c r="E33" s="736"/>
      <c r="F33" s="736">
        <v>38</v>
      </c>
      <c r="G33" s="722">
        <f>SUM(H33:I33)</f>
        <v>30</v>
      </c>
      <c r="H33" s="736"/>
      <c r="I33" s="736">
        <v>30</v>
      </c>
      <c r="J33" s="727">
        <f>SUM(K33,N33)</f>
        <v>49.87</v>
      </c>
      <c r="K33" s="737">
        <f>SUM(L33:M33)</f>
        <v>38</v>
      </c>
      <c r="L33" s="726"/>
      <c r="M33" s="726">
        <v>38</v>
      </c>
      <c r="N33" s="727">
        <f>SUM(O33:P33)</f>
        <v>11.87</v>
      </c>
      <c r="O33" s="726"/>
      <c r="P33" s="726">
        <v>11.87</v>
      </c>
    </row>
    <row r="34" spans="1:16" s="700" customFormat="1" ht="16.5" customHeight="1">
      <c r="A34" s="721">
        <v>3</v>
      </c>
      <c r="B34" s="721" t="s">
        <v>1151</v>
      </c>
      <c r="C34" s="736">
        <f aca="true" t="shared" si="9" ref="C34:C44">D34+G34</f>
        <v>3762</v>
      </c>
      <c r="D34" s="724">
        <f aca="true" t="shared" si="10" ref="D34:D44">E34+F34</f>
        <v>3762</v>
      </c>
      <c r="E34" s="736"/>
      <c r="F34" s="724">
        <v>3762</v>
      </c>
      <c r="G34" s="736"/>
      <c r="H34" s="737"/>
      <c r="I34" s="738"/>
      <c r="J34" s="727">
        <f aca="true" t="shared" si="11" ref="J34:J45">K34+N34</f>
        <v>3762</v>
      </c>
      <c r="K34" s="727">
        <f>SUM(L34:M34)</f>
        <v>3762</v>
      </c>
      <c r="L34" s="727"/>
      <c r="M34" s="739">
        <v>3762</v>
      </c>
      <c r="N34" s="727"/>
      <c r="O34" s="727"/>
      <c r="P34" s="727"/>
    </row>
    <row r="35" spans="1:16" s="700" customFormat="1" ht="16.5" customHeight="1">
      <c r="A35" s="721">
        <v>4</v>
      </c>
      <c r="B35" s="721" t="s">
        <v>1152</v>
      </c>
      <c r="C35" s="736">
        <f t="shared" si="9"/>
        <v>3497</v>
      </c>
      <c r="D35" s="724">
        <f t="shared" si="10"/>
        <v>3497</v>
      </c>
      <c r="E35" s="736"/>
      <c r="F35" s="724">
        <v>3497</v>
      </c>
      <c r="G35" s="736"/>
      <c r="H35" s="737"/>
      <c r="I35" s="738"/>
      <c r="J35" s="727">
        <f t="shared" si="11"/>
        <v>3497</v>
      </c>
      <c r="K35" s="727">
        <f>SUM(L35:M35)</f>
        <v>3497</v>
      </c>
      <c r="L35" s="727"/>
      <c r="M35" s="739">
        <v>3497</v>
      </c>
      <c r="N35" s="727"/>
      <c r="O35" s="727"/>
      <c r="P35" s="727"/>
    </row>
    <row r="36" spans="1:16" s="700" customFormat="1" ht="16.5" customHeight="1">
      <c r="A36" s="721">
        <v>5</v>
      </c>
      <c r="B36" s="721" t="s">
        <v>1153</v>
      </c>
      <c r="C36" s="736">
        <f t="shared" si="9"/>
        <v>1025</v>
      </c>
      <c r="D36" s="724">
        <f t="shared" si="10"/>
        <v>1025</v>
      </c>
      <c r="E36" s="736"/>
      <c r="F36" s="724">
        <v>1025</v>
      </c>
      <c r="G36" s="736"/>
      <c r="H36" s="737"/>
      <c r="I36" s="738"/>
      <c r="J36" s="727">
        <f t="shared" si="11"/>
        <v>1025</v>
      </c>
      <c r="K36" s="727">
        <f>L36+M36</f>
        <v>1025</v>
      </c>
      <c r="L36" s="727"/>
      <c r="M36" s="739">
        <v>1025</v>
      </c>
      <c r="N36" s="727"/>
      <c r="O36" s="727"/>
      <c r="P36" s="727"/>
    </row>
    <row r="37" spans="1:16" s="700" customFormat="1" ht="16.5" customHeight="1">
      <c r="A37" s="721">
        <v>6</v>
      </c>
      <c r="B37" s="721" t="s">
        <v>1154</v>
      </c>
      <c r="C37" s="736">
        <f t="shared" si="9"/>
        <v>670</v>
      </c>
      <c r="D37" s="724">
        <f t="shared" si="10"/>
        <v>670</v>
      </c>
      <c r="E37" s="736"/>
      <c r="F37" s="724">
        <v>670</v>
      </c>
      <c r="G37" s="736"/>
      <c r="H37" s="737"/>
      <c r="I37" s="738"/>
      <c r="J37" s="727">
        <f t="shared" si="11"/>
        <v>670</v>
      </c>
      <c r="K37" s="727">
        <f>L37+M37</f>
        <v>670</v>
      </c>
      <c r="L37" s="727"/>
      <c r="M37" s="739">
        <v>670</v>
      </c>
      <c r="N37" s="727"/>
      <c r="O37" s="727"/>
      <c r="P37" s="727"/>
    </row>
    <row r="38" spans="1:16" s="700" customFormat="1" ht="16.5" customHeight="1">
      <c r="A38" s="721">
        <v>7</v>
      </c>
      <c r="B38" s="721" t="s">
        <v>1155</v>
      </c>
      <c r="C38" s="736">
        <f t="shared" si="9"/>
        <v>13260</v>
      </c>
      <c r="D38" s="724">
        <f t="shared" si="10"/>
        <v>13260</v>
      </c>
      <c r="E38" s="725">
        <v>12200</v>
      </c>
      <c r="F38" s="725">
        <v>1060</v>
      </c>
      <c r="G38" s="736">
        <f>H38+I38</f>
        <v>0</v>
      </c>
      <c r="H38" s="737"/>
      <c r="I38" s="738"/>
      <c r="J38" s="727">
        <f t="shared" si="11"/>
        <v>16405.440000000002</v>
      </c>
      <c r="K38" s="727">
        <f>L38+M38</f>
        <v>769.33</v>
      </c>
      <c r="L38" s="727">
        <v>25.76</v>
      </c>
      <c r="M38" s="739">
        <v>743.57</v>
      </c>
      <c r="N38" s="727">
        <f>O38+P38</f>
        <v>15636.11</v>
      </c>
      <c r="O38" s="727">
        <v>15636.11</v>
      </c>
      <c r="P38" s="727"/>
    </row>
    <row r="39" spans="1:16" s="700" customFormat="1" ht="16.5" customHeight="1">
      <c r="A39" s="721">
        <v>8</v>
      </c>
      <c r="B39" s="721" t="s">
        <v>1156</v>
      </c>
      <c r="C39" s="736">
        <f t="shared" si="9"/>
        <v>2266</v>
      </c>
      <c r="D39" s="724">
        <f t="shared" si="10"/>
        <v>1816</v>
      </c>
      <c r="E39" s="736"/>
      <c r="F39" s="724">
        <f>2266-I39</f>
        <v>1816</v>
      </c>
      <c r="G39" s="722">
        <f>SUM(H39,I39)</f>
        <v>450</v>
      </c>
      <c r="H39" s="737"/>
      <c r="I39" s="738">
        <v>450</v>
      </c>
      <c r="J39" s="727">
        <f t="shared" si="11"/>
        <v>2034.93</v>
      </c>
      <c r="K39" s="727">
        <f>SUM(L39:M39)</f>
        <v>1734.93</v>
      </c>
      <c r="L39" s="727"/>
      <c r="M39" s="739">
        <v>1734.93</v>
      </c>
      <c r="N39" s="727">
        <f>SUM(O39:P39)</f>
        <v>300</v>
      </c>
      <c r="O39" s="727"/>
      <c r="P39" s="727">
        <v>300</v>
      </c>
    </row>
    <row r="40" spans="1:16" s="700" customFormat="1" ht="16.5" customHeight="1">
      <c r="A40" s="721">
        <v>9</v>
      </c>
      <c r="B40" s="721" t="s">
        <v>1157</v>
      </c>
      <c r="C40" s="736">
        <f t="shared" si="9"/>
        <v>28410</v>
      </c>
      <c r="D40" s="724">
        <f t="shared" si="10"/>
        <v>28410</v>
      </c>
      <c r="E40" s="736"/>
      <c r="F40" s="724">
        <v>28410</v>
      </c>
      <c r="G40" s="736"/>
      <c r="H40" s="737"/>
      <c r="I40" s="738"/>
      <c r="J40" s="727">
        <f t="shared" si="11"/>
        <v>28391.9</v>
      </c>
      <c r="K40" s="727">
        <f>L40+M40</f>
        <v>28391.9</v>
      </c>
      <c r="L40" s="727"/>
      <c r="M40" s="739">
        <v>28391.9</v>
      </c>
      <c r="N40" s="727">
        <f aca="true" t="shared" si="12" ref="N40:N45">O40+P40</f>
        <v>0</v>
      </c>
      <c r="O40" s="727"/>
      <c r="P40" s="727"/>
    </row>
    <row r="41" spans="1:16" s="700" customFormat="1" ht="16.5" customHeight="1">
      <c r="A41" s="721">
        <v>10</v>
      </c>
      <c r="B41" s="721" t="s">
        <v>1158</v>
      </c>
      <c r="C41" s="736">
        <f t="shared" si="9"/>
        <v>380</v>
      </c>
      <c r="D41" s="724">
        <f t="shared" si="10"/>
        <v>260</v>
      </c>
      <c r="E41" s="736"/>
      <c r="F41" s="724">
        <f>380-I41</f>
        <v>260</v>
      </c>
      <c r="G41" s="722">
        <f>SUM(H41,I41)</f>
        <v>120</v>
      </c>
      <c r="H41" s="737"/>
      <c r="I41" s="738">
        <v>120</v>
      </c>
      <c r="J41" s="727">
        <f t="shared" si="11"/>
        <v>381</v>
      </c>
      <c r="K41" s="727">
        <f>L41+M41</f>
        <v>260</v>
      </c>
      <c r="L41" s="727"/>
      <c r="M41" s="739">
        <v>260</v>
      </c>
      <c r="N41" s="727">
        <f t="shared" si="12"/>
        <v>121</v>
      </c>
      <c r="O41" s="727"/>
      <c r="P41" s="727">
        <v>121</v>
      </c>
    </row>
    <row r="42" spans="1:16" s="700" customFormat="1" ht="16.5" customHeight="1">
      <c r="A42" s="721">
        <v>11</v>
      </c>
      <c r="B42" s="721" t="s">
        <v>1159</v>
      </c>
      <c r="C42" s="736">
        <f t="shared" si="9"/>
        <v>7620</v>
      </c>
      <c r="D42" s="724">
        <f t="shared" si="10"/>
        <v>5540</v>
      </c>
      <c r="E42" s="736"/>
      <c r="F42" s="724">
        <f>7620-I42</f>
        <v>5540</v>
      </c>
      <c r="G42" s="722">
        <f>SUM(H42,I42)</f>
        <v>2080</v>
      </c>
      <c r="H42" s="737"/>
      <c r="I42" s="738">
        <v>2080</v>
      </c>
      <c r="J42" s="727">
        <f t="shared" si="11"/>
        <v>7406.139999999999</v>
      </c>
      <c r="K42" s="727">
        <f>L42+M42</f>
        <v>5358.19</v>
      </c>
      <c r="L42" s="727"/>
      <c r="M42" s="739">
        <v>5358.19</v>
      </c>
      <c r="N42" s="727">
        <f t="shared" si="12"/>
        <v>2047.95</v>
      </c>
      <c r="O42" s="727"/>
      <c r="P42" s="727">
        <v>2047.95</v>
      </c>
    </row>
    <row r="43" spans="1:16" s="700" customFormat="1" ht="16.5" customHeight="1">
      <c r="A43" s="721">
        <v>12</v>
      </c>
      <c r="B43" s="721" t="s">
        <v>1160</v>
      </c>
      <c r="C43" s="736">
        <f t="shared" si="9"/>
        <v>1700</v>
      </c>
      <c r="D43" s="724">
        <f t="shared" si="10"/>
        <v>1700</v>
      </c>
      <c r="E43" s="736">
        <v>1500</v>
      </c>
      <c r="F43" s="724">
        <v>200</v>
      </c>
      <c r="G43" s="736"/>
      <c r="H43" s="737"/>
      <c r="I43" s="738"/>
      <c r="J43" s="727">
        <f t="shared" si="11"/>
        <v>1684.51</v>
      </c>
      <c r="K43" s="727">
        <f>L43+M43</f>
        <v>1684.51</v>
      </c>
      <c r="L43" s="727">
        <v>1484.57</v>
      </c>
      <c r="M43" s="739">
        <v>199.94</v>
      </c>
      <c r="N43" s="727">
        <f t="shared" si="12"/>
        <v>0</v>
      </c>
      <c r="O43" s="727"/>
      <c r="P43" s="727"/>
    </row>
    <row r="44" spans="1:16" s="700" customFormat="1" ht="16.5" customHeight="1">
      <c r="A44" s="721">
        <v>13</v>
      </c>
      <c r="B44" s="721" t="s">
        <v>1161</v>
      </c>
      <c r="C44" s="736">
        <f t="shared" si="9"/>
        <v>7000</v>
      </c>
      <c r="D44" s="724">
        <f t="shared" si="10"/>
        <v>581</v>
      </c>
      <c r="E44" s="737"/>
      <c r="F44" s="724">
        <f>7000-I44</f>
        <v>581</v>
      </c>
      <c r="G44" s="722">
        <f>SUM(H44,I44)</f>
        <v>6419</v>
      </c>
      <c r="H44" s="737"/>
      <c r="I44" s="738">
        <v>6419</v>
      </c>
      <c r="J44" s="727">
        <f t="shared" si="11"/>
        <v>6439.891</v>
      </c>
      <c r="K44" s="727">
        <f>L44+M44</f>
        <v>564.37</v>
      </c>
      <c r="L44" s="727"/>
      <c r="M44" s="739">
        <v>564.37</v>
      </c>
      <c r="N44" s="727">
        <f t="shared" si="12"/>
        <v>5875.521</v>
      </c>
      <c r="O44" s="727">
        <v>11.37</v>
      </c>
      <c r="P44" s="727">
        <v>5864.151</v>
      </c>
    </row>
    <row r="45" spans="1:16" s="720" customFormat="1" ht="16.5" customHeight="1">
      <c r="A45" s="717" t="s">
        <v>1012</v>
      </c>
      <c r="B45" s="717" t="s">
        <v>1162</v>
      </c>
      <c r="C45" s="740"/>
      <c r="D45" s="741"/>
      <c r="E45" s="740"/>
      <c r="F45" s="741"/>
      <c r="G45" s="740"/>
      <c r="H45" s="742"/>
      <c r="I45" s="743"/>
      <c r="J45" s="744">
        <f t="shared" si="11"/>
        <v>744.98</v>
      </c>
      <c r="K45" s="744"/>
      <c r="L45" s="744"/>
      <c r="M45" s="744"/>
      <c r="N45" s="744">
        <f t="shared" si="12"/>
        <v>744.98</v>
      </c>
      <c r="O45" s="744">
        <v>580.68</v>
      </c>
      <c r="P45" s="744">
        <v>164.3</v>
      </c>
    </row>
    <row r="46" spans="1:16" s="720" customFormat="1" ht="16.5" customHeight="1">
      <c r="A46" s="717" t="s">
        <v>1637</v>
      </c>
      <c r="B46" s="717" t="s">
        <v>1163</v>
      </c>
      <c r="C46" s="745">
        <f>SUM(G46,D46)</f>
        <v>971429</v>
      </c>
      <c r="D46" s="746">
        <f>SUM(E46:F46)</f>
        <v>938990</v>
      </c>
      <c r="E46" s="747">
        <v>869140</v>
      </c>
      <c r="F46" s="747">
        <f>SUM(F47,F50:F80,F83:F98)</f>
        <v>69850</v>
      </c>
      <c r="G46" s="746">
        <f>H46+I46</f>
        <v>32439</v>
      </c>
      <c r="H46" s="747">
        <f>SUM(H47,H52:H56,H57:H59,H60:H77,H80:H89,H90:H98)</f>
        <v>0</v>
      </c>
      <c r="I46" s="747">
        <f>SUM(I47,I50:I80,I83:I98)</f>
        <v>32439</v>
      </c>
      <c r="J46" s="748">
        <f>SUM(J47:J80,J83:J98)</f>
        <v>995622.5300000001</v>
      </c>
      <c r="K46" s="748">
        <f aca="true" t="shared" si="13" ref="K46:P46">SUM(K47:K80,K83:K98)</f>
        <v>734784.1100000001</v>
      </c>
      <c r="L46" s="748">
        <f t="shared" si="13"/>
        <v>650115.7699999999</v>
      </c>
      <c r="M46" s="748">
        <f t="shared" si="13"/>
        <v>84668.34</v>
      </c>
      <c r="N46" s="748">
        <f t="shared" si="13"/>
        <v>260838.42</v>
      </c>
      <c r="O46" s="748">
        <f t="shared" si="13"/>
        <v>217310.18</v>
      </c>
      <c r="P46" s="748">
        <f t="shared" si="13"/>
        <v>43528.240000000005</v>
      </c>
    </row>
    <row r="47" spans="1:16" s="700" customFormat="1" ht="16.5" customHeight="1">
      <c r="A47" s="721"/>
      <c r="B47" s="721" t="s">
        <v>1164</v>
      </c>
      <c r="C47" s="736">
        <f>+D47</f>
        <v>7700</v>
      </c>
      <c r="D47" s="736">
        <f>+E47+F47</f>
        <v>7700</v>
      </c>
      <c r="E47" s="736"/>
      <c r="F47" s="736">
        <v>7700</v>
      </c>
      <c r="G47" s="736">
        <f>SUM(G48:G49)</f>
        <v>0</v>
      </c>
      <c r="H47" s="736">
        <f>SUM(H48:H49)</f>
        <v>0</v>
      </c>
      <c r="I47" s="736">
        <f>SUM(I48:I49)</f>
        <v>0</v>
      </c>
      <c r="J47" s="727">
        <f>SUM(K47,N47)</f>
        <v>214145.91</v>
      </c>
      <c r="K47" s="727">
        <f aca="true" t="shared" si="14" ref="K47:K62">L47+M47</f>
        <v>107140.34</v>
      </c>
      <c r="L47" s="726">
        <v>107140.34</v>
      </c>
      <c r="M47" s="726"/>
      <c r="N47" s="727">
        <f aca="true" t="shared" si="15" ref="N47:N62">O47+P47</f>
        <v>107005.57</v>
      </c>
      <c r="O47" s="726">
        <v>107005.57</v>
      </c>
      <c r="P47" s="726"/>
    </row>
    <row r="48" spans="1:16" s="705" customFormat="1" ht="16.5" customHeight="1">
      <c r="A48" s="749"/>
      <c r="B48" s="750" t="s">
        <v>1165</v>
      </c>
      <c r="C48" s="736">
        <f aca="true" t="shared" si="16" ref="C48:D52">SUM(C49:C50)</f>
        <v>0</v>
      </c>
      <c r="D48" s="736">
        <f t="shared" si="16"/>
        <v>0</v>
      </c>
      <c r="E48" s="736"/>
      <c r="F48" s="724"/>
      <c r="G48" s="724">
        <f>H48+I48</f>
        <v>0</v>
      </c>
      <c r="H48" s="751"/>
      <c r="I48" s="724"/>
      <c r="J48" s="727">
        <f>SUM(K48,N48)</f>
        <v>0</v>
      </c>
      <c r="K48" s="727">
        <f t="shared" si="14"/>
        <v>0</v>
      </c>
      <c r="L48" s="727"/>
      <c r="M48" s="727"/>
      <c r="N48" s="727">
        <f t="shared" si="15"/>
        <v>0</v>
      </c>
      <c r="O48" s="727"/>
      <c r="P48" s="752"/>
    </row>
    <row r="49" spans="1:16" s="700" customFormat="1" ht="16.5" customHeight="1">
      <c r="A49" s="721"/>
      <c r="B49" s="721" t="s">
        <v>1166</v>
      </c>
      <c r="C49" s="736">
        <f t="shared" si="16"/>
        <v>0</v>
      </c>
      <c r="D49" s="736">
        <f t="shared" si="16"/>
        <v>0</v>
      </c>
      <c r="E49" s="736"/>
      <c r="F49" s="724"/>
      <c r="G49" s="736"/>
      <c r="H49" s="737"/>
      <c r="I49" s="738"/>
      <c r="J49" s="727">
        <f>SUM(K49,N49)</f>
        <v>0</v>
      </c>
      <c r="K49" s="727">
        <f t="shared" si="14"/>
        <v>0</v>
      </c>
      <c r="L49" s="727"/>
      <c r="M49" s="739"/>
      <c r="N49" s="727">
        <f t="shared" si="15"/>
        <v>0</v>
      </c>
      <c r="O49" s="727"/>
      <c r="P49" s="727"/>
    </row>
    <row r="50" spans="1:16" s="700" customFormat="1" ht="16.5" customHeight="1">
      <c r="A50" s="721"/>
      <c r="B50" s="721" t="s">
        <v>1167</v>
      </c>
      <c r="C50" s="736">
        <f t="shared" si="16"/>
        <v>0</v>
      </c>
      <c r="D50" s="736">
        <f t="shared" si="16"/>
        <v>0</v>
      </c>
      <c r="E50" s="736"/>
      <c r="F50" s="724">
        <f>9213-I50</f>
        <v>211</v>
      </c>
      <c r="G50" s="736"/>
      <c r="H50" s="737"/>
      <c r="I50" s="738">
        <v>9002</v>
      </c>
      <c r="J50" s="727">
        <f>SUM(K50,N50)</f>
        <v>21815.15</v>
      </c>
      <c r="K50" s="727">
        <f t="shared" si="14"/>
        <v>747.79</v>
      </c>
      <c r="L50" s="727"/>
      <c r="M50" s="727">
        <v>747.79</v>
      </c>
      <c r="N50" s="727">
        <f t="shared" si="15"/>
        <v>21067.36</v>
      </c>
      <c r="O50" s="727">
        <v>8202.66</v>
      </c>
      <c r="P50" s="752">
        <v>12864.7</v>
      </c>
    </row>
    <row r="51" spans="1:16" s="700" customFormat="1" ht="16.5" customHeight="1">
      <c r="A51" s="721"/>
      <c r="B51" s="721" t="s">
        <v>1168</v>
      </c>
      <c r="C51" s="736">
        <f t="shared" si="16"/>
        <v>0</v>
      </c>
      <c r="D51" s="736">
        <f t="shared" si="16"/>
        <v>0</v>
      </c>
      <c r="E51" s="736"/>
      <c r="F51" s="724"/>
      <c r="G51" s="736"/>
      <c r="H51" s="737"/>
      <c r="I51" s="738"/>
      <c r="J51" s="727">
        <f>SUM(K51,N51)</f>
        <v>1344.1</v>
      </c>
      <c r="K51" s="727">
        <f t="shared" si="14"/>
        <v>1344.1</v>
      </c>
      <c r="L51" s="727">
        <v>1344.1</v>
      </c>
      <c r="M51" s="739"/>
      <c r="N51" s="727">
        <f t="shared" si="15"/>
        <v>0</v>
      </c>
      <c r="O51" s="727"/>
      <c r="P51" s="727"/>
    </row>
    <row r="52" spans="1:16" s="700" customFormat="1" ht="16.5" customHeight="1">
      <c r="A52" s="721"/>
      <c r="B52" s="721" t="s">
        <v>1169</v>
      </c>
      <c r="C52" s="736">
        <f t="shared" si="16"/>
        <v>0</v>
      </c>
      <c r="D52" s="736">
        <f t="shared" si="16"/>
        <v>0</v>
      </c>
      <c r="E52" s="736"/>
      <c r="F52" s="724"/>
      <c r="G52" s="736"/>
      <c r="H52" s="737"/>
      <c r="I52" s="738"/>
      <c r="J52" s="727">
        <f aca="true" t="shared" si="17" ref="J52:J98">N52+K52</f>
        <v>134857.16</v>
      </c>
      <c r="K52" s="727">
        <f t="shared" si="14"/>
        <v>134857.16</v>
      </c>
      <c r="L52" s="727">
        <v>134857.16</v>
      </c>
      <c r="M52" s="739"/>
      <c r="N52" s="727">
        <f t="shared" si="15"/>
        <v>0</v>
      </c>
      <c r="O52" s="727"/>
      <c r="P52" s="727"/>
    </row>
    <row r="53" spans="1:16" s="700" customFormat="1" ht="16.5" customHeight="1">
      <c r="A53" s="721"/>
      <c r="B53" s="721" t="s">
        <v>1170</v>
      </c>
      <c r="C53" s="736">
        <f aca="true" t="shared" si="18" ref="C53:C95">D53+G53</f>
        <v>0</v>
      </c>
      <c r="D53" s="724">
        <f aca="true" t="shared" si="19" ref="D53:D98">SUM(E53:F53)</f>
        <v>0</v>
      </c>
      <c r="E53" s="736"/>
      <c r="F53" s="724"/>
      <c r="G53" s="736"/>
      <c r="H53" s="737"/>
      <c r="I53" s="738"/>
      <c r="J53" s="727">
        <f t="shared" si="17"/>
        <v>3077.65</v>
      </c>
      <c r="K53" s="727">
        <f t="shared" si="14"/>
        <v>3077.65</v>
      </c>
      <c r="L53" s="727">
        <v>3077.65</v>
      </c>
      <c r="M53" s="739"/>
      <c r="N53" s="727">
        <f t="shared" si="15"/>
        <v>0</v>
      </c>
      <c r="O53" s="727"/>
      <c r="P53" s="727"/>
    </row>
    <row r="54" spans="1:16" s="700" customFormat="1" ht="16.5" customHeight="1">
      <c r="A54" s="721"/>
      <c r="B54" s="721" t="s">
        <v>1171</v>
      </c>
      <c r="C54" s="736">
        <f t="shared" si="18"/>
        <v>0</v>
      </c>
      <c r="D54" s="724">
        <f t="shared" si="19"/>
        <v>0</v>
      </c>
      <c r="E54" s="736"/>
      <c r="F54" s="724"/>
      <c r="G54" s="736"/>
      <c r="H54" s="737"/>
      <c r="I54" s="738"/>
      <c r="J54" s="727">
        <f t="shared" si="17"/>
        <v>11639.85</v>
      </c>
      <c r="K54" s="727">
        <f t="shared" si="14"/>
        <v>11639.85</v>
      </c>
      <c r="L54" s="727">
        <v>11639.85</v>
      </c>
      <c r="M54" s="739"/>
      <c r="N54" s="727">
        <f t="shared" si="15"/>
        <v>0</v>
      </c>
      <c r="O54" s="727"/>
      <c r="P54" s="727"/>
    </row>
    <row r="55" spans="1:16" s="700" customFormat="1" ht="16.5" customHeight="1">
      <c r="A55" s="721"/>
      <c r="B55" s="721" t="s">
        <v>1172</v>
      </c>
      <c r="C55" s="736">
        <f t="shared" si="18"/>
        <v>0</v>
      </c>
      <c r="D55" s="724">
        <f t="shared" si="19"/>
        <v>0</v>
      </c>
      <c r="E55" s="736"/>
      <c r="F55" s="724"/>
      <c r="G55" s="736"/>
      <c r="H55" s="737"/>
      <c r="I55" s="738"/>
      <c r="J55" s="727">
        <f t="shared" si="17"/>
        <v>950.54</v>
      </c>
      <c r="K55" s="727">
        <f t="shared" si="14"/>
        <v>950.54</v>
      </c>
      <c r="L55" s="727">
        <v>950.54</v>
      </c>
      <c r="M55" s="739"/>
      <c r="N55" s="727">
        <f t="shared" si="15"/>
        <v>0</v>
      </c>
      <c r="O55" s="727"/>
      <c r="P55" s="727"/>
    </row>
    <row r="56" spans="1:16" s="700" customFormat="1" ht="16.5" customHeight="1">
      <c r="A56" s="721"/>
      <c r="B56" s="721" t="s">
        <v>1173</v>
      </c>
      <c r="C56" s="736">
        <f t="shared" si="18"/>
        <v>0</v>
      </c>
      <c r="D56" s="724">
        <f t="shared" si="19"/>
        <v>0</v>
      </c>
      <c r="E56" s="736"/>
      <c r="F56" s="724"/>
      <c r="G56" s="736"/>
      <c r="H56" s="737"/>
      <c r="I56" s="738"/>
      <c r="J56" s="727">
        <f t="shared" si="17"/>
        <v>27897.26</v>
      </c>
      <c r="K56" s="727">
        <f t="shared" si="14"/>
        <v>7141.21</v>
      </c>
      <c r="L56" s="727">
        <v>7141.21</v>
      </c>
      <c r="M56" s="727"/>
      <c r="N56" s="727">
        <f t="shared" si="15"/>
        <v>20756.05</v>
      </c>
      <c r="O56" s="727">
        <v>20756.05</v>
      </c>
      <c r="P56" s="727"/>
    </row>
    <row r="57" spans="1:16" s="700" customFormat="1" ht="16.5" customHeight="1">
      <c r="A57" s="721"/>
      <c r="B57" s="753" t="s">
        <v>1174</v>
      </c>
      <c r="C57" s="736">
        <f t="shared" si="18"/>
        <v>0</v>
      </c>
      <c r="D57" s="724">
        <f t="shared" si="19"/>
        <v>0</v>
      </c>
      <c r="E57" s="736"/>
      <c r="F57" s="724"/>
      <c r="G57" s="736"/>
      <c r="H57" s="737"/>
      <c r="I57" s="738"/>
      <c r="J57" s="727">
        <f t="shared" si="17"/>
        <v>20989.74</v>
      </c>
      <c r="K57" s="727">
        <f t="shared" si="14"/>
        <v>20989.74</v>
      </c>
      <c r="L57" s="727">
        <v>20989.74</v>
      </c>
      <c r="M57" s="739"/>
      <c r="N57" s="727">
        <f t="shared" si="15"/>
        <v>0</v>
      </c>
      <c r="O57" s="727"/>
      <c r="P57" s="727"/>
    </row>
    <row r="58" spans="1:16" s="700" customFormat="1" ht="16.5" customHeight="1">
      <c r="A58" s="721"/>
      <c r="B58" s="721" t="s">
        <v>1175</v>
      </c>
      <c r="C58" s="736">
        <f t="shared" si="18"/>
        <v>0</v>
      </c>
      <c r="D58" s="724">
        <f t="shared" si="19"/>
        <v>0</v>
      </c>
      <c r="E58" s="736"/>
      <c r="F58" s="724"/>
      <c r="G58" s="736"/>
      <c r="H58" s="737"/>
      <c r="I58" s="738"/>
      <c r="J58" s="727">
        <f t="shared" si="17"/>
        <v>13943.03</v>
      </c>
      <c r="K58" s="727">
        <f t="shared" si="14"/>
        <v>13943.03</v>
      </c>
      <c r="L58" s="727">
        <v>13943.03</v>
      </c>
      <c r="M58" s="739"/>
      <c r="N58" s="727">
        <f t="shared" si="15"/>
        <v>0</v>
      </c>
      <c r="O58" s="727"/>
      <c r="P58" s="727"/>
    </row>
    <row r="59" spans="1:16" s="700" customFormat="1" ht="16.5" customHeight="1">
      <c r="A59" s="721"/>
      <c r="B59" s="721" t="s">
        <v>1176</v>
      </c>
      <c r="C59" s="736">
        <f t="shared" si="18"/>
        <v>0</v>
      </c>
      <c r="D59" s="724">
        <f t="shared" si="19"/>
        <v>0</v>
      </c>
      <c r="E59" s="736"/>
      <c r="F59" s="724"/>
      <c r="G59" s="736"/>
      <c r="H59" s="737"/>
      <c r="I59" s="738"/>
      <c r="J59" s="727">
        <f t="shared" si="17"/>
        <v>9666.85</v>
      </c>
      <c r="K59" s="727">
        <f t="shared" si="14"/>
        <v>9666.85</v>
      </c>
      <c r="L59" s="727">
        <f>3719.05+5947.8</f>
        <v>9666.85</v>
      </c>
      <c r="M59" s="727"/>
      <c r="N59" s="727">
        <f t="shared" si="15"/>
        <v>0</v>
      </c>
      <c r="O59" s="727"/>
      <c r="P59" s="727"/>
    </row>
    <row r="60" spans="1:16" s="700" customFormat="1" ht="16.5" customHeight="1">
      <c r="A60" s="721"/>
      <c r="B60" s="721" t="s">
        <v>1177</v>
      </c>
      <c r="C60" s="736">
        <f t="shared" si="18"/>
        <v>0</v>
      </c>
      <c r="D60" s="724">
        <f t="shared" si="19"/>
        <v>0</v>
      </c>
      <c r="E60" s="736"/>
      <c r="F60" s="724"/>
      <c r="G60" s="736"/>
      <c r="H60" s="737"/>
      <c r="I60" s="738"/>
      <c r="J60" s="727">
        <f t="shared" si="17"/>
        <v>600</v>
      </c>
      <c r="K60" s="727">
        <f t="shared" si="14"/>
        <v>0</v>
      </c>
      <c r="L60" s="727"/>
      <c r="M60" s="739"/>
      <c r="N60" s="727">
        <f t="shared" si="15"/>
        <v>600</v>
      </c>
      <c r="O60" s="727">
        <v>600</v>
      </c>
      <c r="P60" s="727"/>
    </row>
    <row r="61" spans="1:16" s="700" customFormat="1" ht="16.5" customHeight="1">
      <c r="A61" s="721"/>
      <c r="B61" s="721" t="s">
        <v>1178</v>
      </c>
      <c r="C61" s="736">
        <f t="shared" si="18"/>
        <v>0</v>
      </c>
      <c r="D61" s="724">
        <f t="shared" si="19"/>
        <v>0</v>
      </c>
      <c r="E61" s="736"/>
      <c r="F61" s="724"/>
      <c r="G61" s="736"/>
      <c r="H61" s="737"/>
      <c r="I61" s="738"/>
      <c r="J61" s="727">
        <f t="shared" si="17"/>
        <v>5633.86</v>
      </c>
      <c r="K61" s="727">
        <f t="shared" si="14"/>
        <v>5633.86</v>
      </c>
      <c r="L61" s="727">
        <v>5633.86</v>
      </c>
      <c r="M61" s="739"/>
      <c r="N61" s="727">
        <f t="shared" si="15"/>
        <v>0</v>
      </c>
      <c r="O61" s="727"/>
      <c r="P61" s="727"/>
    </row>
    <row r="62" spans="1:16" s="700" customFormat="1" ht="16.5" customHeight="1">
      <c r="A62" s="721"/>
      <c r="B62" s="721" t="s">
        <v>1179</v>
      </c>
      <c r="C62" s="736">
        <f t="shared" si="18"/>
        <v>0</v>
      </c>
      <c r="D62" s="724">
        <f t="shared" si="19"/>
        <v>0</v>
      </c>
      <c r="E62" s="736"/>
      <c r="F62" s="724"/>
      <c r="G62" s="736"/>
      <c r="H62" s="737"/>
      <c r="I62" s="738"/>
      <c r="J62" s="727">
        <f t="shared" si="17"/>
        <v>59889.44</v>
      </c>
      <c r="K62" s="727">
        <f t="shared" si="14"/>
        <v>59889.44</v>
      </c>
      <c r="L62" s="727">
        <v>59889.44</v>
      </c>
      <c r="M62" s="739"/>
      <c r="N62" s="727">
        <f t="shared" si="15"/>
        <v>0</v>
      </c>
      <c r="O62" s="727"/>
      <c r="P62" s="727"/>
    </row>
    <row r="63" spans="1:16" s="700" customFormat="1" ht="16.5" customHeight="1">
      <c r="A63" s="721"/>
      <c r="B63" s="721" t="s">
        <v>1180</v>
      </c>
      <c r="C63" s="736">
        <f t="shared" si="18"/>
        <v>2000</v>
      </c>
      <c r="D63" s="724">
        <f t="shared" si="19"/>
        <v>0</v>
      </c>
      <c r="E63" s="736"/>
      <c r="F63" s="724">
        <f>2000-I63</f>
        <v>0</v>
      </c>
      <c r="G63" s="736">
        <f>SUM(H63:I63)</f>
        <v>2000</v>
      </c>
      <c r="H63" s="737"/>
      <c r="I63" s="738">
        <v>2000</v>
      </c>
      <c r="J63" s="727">
        <f t="shared" si="17"/>
        <v>11634.410000000002</v>
      </c>
      <c r="K63" s="727">
        <f>SUM(L63:M63)</f>
        <v>128.53</v>
      </c>
      <c r="L63" s="727"/>
      <c r="M63" s="739">
        <v>128.53</v>
      </c>
      <c r="N63" s="727">
        <f>SUM(O63:P63)</f>
        <v>11505.880000000001</v>
      </c>
      <c r="O63" s="727">
        <v>6912.45</v>
      </c>
      <c r="P63" s="726">
        <v>4593.43</v>
      </c>
    </row>
    <row r="64" spans="1:16" s="700" customFormat="1" ht="16.5" customHeight="1">
      <c r="A64" s="721"/>
      <c r="B64" s="721" t="s">
        <v>1181</v>
      </c>
      <c r="C64" s="736">
        <f t="shared" si="18"/>
        <v>0</v>
      </c>
      <c r="D64" s="724">
        <f t="shared" si="19"/>
        <v>0</v>
      </c>
      <c r="E64" s="736"/>
      <c r="F64" s="724"/>
      <c r="G64" s="736"/>
      <c r="H64" s="737"/>
      <c r="I64" s="738"/>
      <c r="J64" s="727">
        <f t="shared" si="17"/>
        <v>5983.96</v>
      </c>
      <c r="K64" s="727">
        <f aca="true" t="shared" si="20" ref="K64:K76">L64+M64</f>
        <v>5983.96</v>
      </c>
      <c r="L64" s="727">
        <v>5983.96</v>
      </c>
      <c r="M64" s="739"/>
      <c r="N64" s="727">
        <f>O64+P64</f>
        <v>0</v>
      </c>
      <c r="O64" s="727"/>
      <c r="P64" s="727"/>
    </row>
    <row r="65" spans="1:16" s="700" customFormat="1" ht="16.5" customHeight="1">
      <c r="A65" s="721"/>
      <c r="B65" s="721" t="s">
        <v>1182</v>
      </c>
      <c r="C65" s="736">
        <f t="shared" si="18"/>
        <v>0</v>
      </c>
      <c r="D65" s="724">
        <f t="shared" si="19"/>
        <v>0</v>
      </c>
      <c r="E65" s="736"/>
      <c r="F65" s="724"/>
      <c r="G65" s="736"/>
      <c r="H65" s="737"/>
      <c r="I65" s="738"/>
      <c r="J65" s="727">
        <f t="shared" si="17"/>
        <v>186.45</v>
      </c>
      <c r="K65" s="727">
        <f t="shared" si="20"/>
        <v>0</v>
      </c>
      <c r="L65" s="727"/>
      <c r="M65" s="739"/>
      <c r="N65" s="727">
        <f>O65+P65</f>
        <v>186.45</v>
      </c>
      <c r="O65" s="727">
        <v>186.45</v>
      </c>
      <c r="P65" s="727"/>
    </row>
    <row r="66" spans="1:16" s="700" customFormat="1" ht="16.5" customHeight="1">
      <c r="A66" s="721"/>
      <c r="B66" s="721" t="s">
        <v>1183</v>
      </c>
      <c r="C66" s="736">
        <f t="shared" si="18"/>
        <v>4200</v>
      </c>
      <c r="D66" s="724">
        <f t="shared" si="19"/>
        <v>3865</v>
      </c>
      <c r="E66" s="736"/>
      <c r="F66" s="724">
        <f>4200-I66</f>
        <v>3865</v>
      </c>
      <c r="G66" s="736">
        <f>H66+I66</f>
        <v>335</v>
      </c>
      <c r="H66" s="737"/>
      <c r="I66" s="738">
        <v>335</v>
      </c>
      <c r="J66" s="727">
        <f t="shared" si="17"/>
        <v>11085.79</v>
      </c>
      <c r="K66" s="727">
        <f t="shared" si="20"/>
        <v>10857.75</v>
      </c>
      <c r="L66" s="727">
        <v>7205.16</v>
      </c>
      <c r="M66" s="739">
        <v>3652.59</v>
      </c>
      <c r="N66" s="727">
        <f>O66+P66</f>
        <v>228.04</v>
      </c>
      <c r="O66" s="727"/>
      <c r="P66" s="727">
        <v>228.04</v>
      </c>
    </row>
    <row r="67" spans="1:16" s="705" customFormat="1" ht="16.5" customHeight="1">
      <c r="A67" s="749"/>
      <c r="B67" s="750" t="s">
        <v>1184</v>
      </c>
      <c r="C67" s="736">
        <f t="shared" si="18"/>
        <v>0</v>
      </c>
      <c r="D67" s="724">
        <f t="shared" si="19"/>
        <v>0</v>
      </c>
      <c r="E67" s="737"/>
      <c r="F67" s="754"/>
      <c r="G67" s="736"/>
      <c r="H67" s="755"/>
      <c r="I67" s="756"/>
      <c r="J67" s="727">
        <f t="shared" si="17"/>
        <v>0</v>
      </c>
      <c r="K67" s="727">
        <f t="shared" si="20"/>
        <v>0</v>
      </c>
      <c r="L67" s="752"/>
      <c r="M67" s="757"/>
      <c r="N67" s="727"/>
      <c r="O67" s="752"/>
      <c r="P67" s="752"/>
    </row>
    <row r="68" spans="1:16" s="700" customFormat="1" ht="16.5" customHeight="1">
      <c r="A68" s="721"/>
      <c r="B68" s="721" t="s">
        <v>1185</v>
      </c>
      <c r="C68" s="736">
        <f t="shared" si="18"/>
        <v>47473</v>
      </c>
      <c r="D68" s="724">
        <f t="shared" si="19"/>
        <v>47473</v>
      </c>
      <c r="E68" s="736"/>
      <c r="F68" s="724">
        <f>50000-I68</f>
        <v>47473</v>
      </c>
      <c r="G68" s="736"/>
      <c r="H68" s="737"/>
      <c r="I68" s="738">
        <v>2527</v>
      </c>
      <c r="J68" s="727">
        <f t="shared" si="17"/>
        <v>161309.76</v>
      </c>
      <c r="K68" s="727">
        <f t="shared" si="20"/>
        <v>158271.79</v>
      </c>
      <c r="L68" s="727">
        <v>157135.48</v>
      </c>
      <c r="M68" s="739">
        <v>1136.31</v>
      </c>
      <c r="N68" s="727">
        <f>SUM(O68:P68)</f>
        <v>3037.9700000000003</v>
      </c>
      <c r="O68" s="727">
        <v>648.3</v>
      </c>
      <c r="P68" s="727">
        <v>2389.67</v>
      </c>
    </row>
    <row r="69" spans="1:16" s="705" customFormat="1" ht="16.5" customHeight="1">
      <c r="A69" s="749"/>
      <c r="B69" s="750" t="s">
        <v>1186</v>
      </c>
      <c r="C69" s="736">
        <f t="shared" si="18"/>
        <v>0</v>
      </c>
      <c r="D69" s="724">
        <f t="shared" si="19"/>
        <v>0</v>
      </c>
      <c r="E69" s="749"/>
      <c r="F69" s="754"/>
      <c r="G69" s="736"/>
      <c r="H69" s="755"/>
      <c r="I69" s="756"/>
      <c r="J69" s="727">
        <f t="shared" si="17"/>
        <v>16329.06</v>
      </c>
      <c r="K69" s="727">
        <f t="shared" si="20"/>
        <v>0</v>
      </c>
      <c r="L69" s="752"/>
      <c r="M69" s="757"/>
      <c r="N69" s="727">
        <f aca="true" t="shared" si="21" ref="N69:N77">O69+P69</f>
        <v>16329.06</v>
      </c>
      <c r="O69" s="727">
        <v>16329.06</v>
      </c>
      <c r="P69" s="752"/>
    </row>
    <row r="70" spans="1:16" s="700" customFormat="1" ht="16.5" customHeight="1">
      <c r="A70" s="721"/>
      <c r="B70" s="721" t="s">
        <v>1187</v>
      </c>
      <c r="C70" s="736">
        <f t="shared" si="18"/>
        <v>5300</v>
      </c>
      <c r="D70" s="724">
        <f t="shared" si="19"/>
        <v>4442</v>
      </c>
      <c r="E70" s="736"/>
      <c r="F70" s="724">
        <f>5300-I70</f>
        <v>4442</v>
      </c>
      <c r="G70" s="736">
        <f>SUM(H70:I70)</f>
        <v>858</v>
      </c>
      <c r="H70" s="737"/>
      <c r="I70" s="738">
        <v>858</v>
      </c>
      <c r="J70" s="727">
        <f t="shared" si="17"/>
        <v>35081.12</v>
      </c>
      <c r="K70" s="727">
        <f t="shared" si="20"/>
        <v>0</v>
      </c>
      <c r="L70" s="727"/>
      <c r="M70" s="739"/>
      <c r="N70" s="727">
        <f t="shared" si="21"/>
        <v>35081.12</v>
      </c>
      <c r="O70" s="727">
        <v>34933.04</v>
      </c>
      <c r="P70" s="726">
        <v>148.08</v>
      </c>
    </row>
    <row r="71" spans="1:16" s="700" customFormat="1" ht="16.5" customHeight="1">
      <c r="A71" s="758"/>
      <c r="B71" s="750" t="s">
        <v>1188</v>
      </c>
      <c r="C71" s="736">
        <f t="shared" si="18"/>
        <v>0</v>
      </c>
      <c r="D71" s="724">
        <f t="shared" si="19"/>
        <v>0</v>
      </c>
      <c r="E71" s="758"/>
      <c r="F71" s="759"/>
      <c r="G71" s="736"/>
      <c r="H71" s="737"/>
      <c r="I71" s="738"/>
      <c r="J71" s="727">
        <f t="shared" si="17"/>
        <v>0</v>
      </c>
      <c r="K71" s="727">
        <f t="shared" si="20"/>
        <v>0</v>
      </c>
      <c r="L71" s="760"/>
      <c r="M71" s="761"/>
      <c r="N71" s="727">
        <f t="shared" si="21"/>
        <v>0</v>
      </c>
      <c r="O71" s="727"/>
      <c r="P71" s="760"/>
    </row>
    <row r="72" spans="1:16" s="700" customFormat="1" ht="16.5" customHeight="1">
      <c r="A72" s="758"/>
      <c r="B72" s="750" t="s">
        <v>1189</v>
      </c>
      <c r="C72" s="736">
        <f t="shared" si="18"/>
        <v>0</v>
      </c>
      <c r="D72" s="724">
        <f t="shared" si="19"/>
        <v>0</v>
      </c>
      <c r="E72" s="758"/>
      <c r="F72" s="759"/>
      <c r="G72" s="736"/>
      <c r="H72" s="737"/>
      <c r="I72" s="738"/>
      <c r="J72" s="727">
        <f t="shared" si="17"/>
        <v>862.83</v>
      </c>
      <c r="K72" s="727">
        <f t="shared" si="20"/>
        <v>862.83</v>
      </c>
      <c r="L72" s="727">
        <v>862.83</v>
      </c>
      <c r="M72" s="761"/>
      <c r="N72" s="727">
        <f t="shared" si="21"/>
        <v>0</v>
      </c>
      <c r="O72" s="727"/>
      <c r="P72" s="760"/>
    </row>
    <row r="73" spans="1:16" s="700" customFormat="1" ht="16.5" customHeight="1">
      <c r="A73" s="758"/>
      <c r="B73" s="750" t="s">
        <v>1190</v>
      </c>
      <c r="C73" s="736">
        <f t="shared" si="18"/>
        <v>0</v>
      </c>
      <c r="D73" s="724">
        <f t="shared" si="19"/>
        <v>0</v>
      </c>
      <c r="E73" s="758"/>
      <c r="F73" s="759"/>
      <c r="G73" s="736"/>
      <c r="H73" s="737"/>
      <c r="I73" s="738"/>
      <c r="J73" s="727">
        <f t="shared" si="17"/>
        <v>1200</v>
      </c>
      <c r="K73" s="727">
        <f t="shared" si="20"/>
        <v>0</v>
      </c>
      <c r="L73" s="727"/>
      <c r="M73" s="761"/>
      <c r="N73" s="727">
        <f t="shared" si="21"/>
        <v>1200</v>
      </c>
      <c r="O73" s="727">
        <v>1200</v>
      </c>
      <c r="P73" s="760"/>
    </row>
    <row r="74" spans="1:16" s="700" customFormat="1" ht="16.5" customHeight="1">
      <c r="A74" s="758"/>
      <c r="B74" s="750" t="s">
        <v>1191</v>
      </c>
      <c r="C74" s="736">
        <f t="shared" si="18"/>
        <v>0</v>
      </c>
      <c r="D74" s="724">
        <f t="shared" si="19"/>
        <v>0</v>
      </c>
      <c r="E74" s="758"/>
      <c r="F74" s="759"/>
      <c r="G74" s="736"/>
      <c r="H74" s="737"/>
      <c r="I74" s="738"/>
      <c r="J74" s="727">
        <f t="shared" si="17"/>
        <v>31920.1</v>
      </c>
      <c r="K74" s="727">
        <f t="shared" si="20"/>
        <v>31920.1</v>
      </c>
      <c r="L74" s="727">
        <v>31920.1</v>
      </c>
      <c r="M74" s="761"/>
      <c r="N74" s="727">
        <f t="shared" si="21"/>
        <v>0</v>
      </c>
      <c r="O74" s="727"/>
      <c r="P74" s="760"/>
    </row>
    <row r="75" spans="1:16" s="700" customFormat="1" ht="16.5" customHeight="1">
      <c r="A75" s="758"/>
      <c r="B75" s="750" t="s">
        <v>1192</v>
      </c>
      <c r="C75" s="736">
        <f t="shared" si="18"/>
        <v>0</v>
      </c>
      <c r="D75" s="724">
        <f t="shared" si="19"/>
        <v>0</v>
      </c>
      <c r="E75" s="758"/>
      <c r="F75" s="759"/>
      <c r="G75" s="736"/>
      <c r="H75" s="737"/>
      <c r="I75" s="738"/>
      <c r="J75" s="727">
        <f t="shared" si="17"/>
        <v>57840.48</v>
      </c>
      <c r="K75" s="727">
        <f t="shared" si="20"/>
        <v>57840.48</v>
      </c>
      <c r="L75" s="727">
        <v>57840.48</v>
      </c>
      <c r="M75" s="761"/>
      <c r="N75" s="727">
        <f t="shared" si="21"/>
        <v>0</v>
      </c>
      <c r="O75" s="727"/>
      <c r="P75" s="760"/>
    </row>
    <row r="76" spans="1:16" s="700" customFormat="1" ht="16.5" customHeight="1">
      <c r="A76" s="758"/>
      <c r="B76" s="750" t="s">
        <v>1193</v>
      </c>
      <c r="C76" s="736">
        <f t="shared" si="18"/>
        <v>0</v>
      </c>
      <c r="D76" s="724">
        <f t="shared" si="19"/>
        <v>0</v>
      </c>
      <c r="E76" s="737"/>
      <c r="F76" s="738"/>
      <c r="G76" s="736">
        <f>SUM(H76:I76)</f>
        <v>0</v>
      </c>
      <c r="H76" s="737"/>
      <c r="I76" s="738"/>
      <c r="J76" s="727">
        <f t="shared" si="17"/>
        <v>6886.88</v>
      </c>
      <c r="K76" s="727">
        <f t="shared" si="20"/>
        <v>0</v>
      </c>
      <c r="L76" s="760"/>
      <c r="M76" s="727"/>
      <c r="N76" s="727">
        <f t="shared" si="21"/>
        <v>6886.88</v>
      </c>
      <c r="O76" s="727">
        <v>385.21</v>
      </c>
      <c r="P76" s="727">
        <v>6501.67</v>
      </c>
    </row>
    <row r="77" spans="1:16" s="700" customFormat="1" ht="16.5" customHeight="1">
      <c r="A77" s="758"/>
      <c r="B77" s="750" t="s">
        <v>1194</v>
      </c>
      <c r="C77" s="736">
        <f t="shared" si="18"/>
        <v>0</v>
      </c>
      <c r="D77" s="724">
        <f t="shared" si="19"/>
        <v>0</v>
      </c>
      <c r="E77" s="758"/>
      <c r="F77" s="759"/>
      <c r="G77" s="736"/>
      <c r="H77" s="762"/>
      <c r="I77" s="738"/>
      <c r="J77" s="727">
        <f t="shared" si="17"/>
        <v>106.59</v>
      </c>
      <c r="K77" s="727">
        <f aca="true" t="shared" si="22" ref="K77:K89">SUM(L77:M77)</f>
        <v>0</v>
      </c>
      <c r="L77" s="763"/>
      <c r="M77" s="764"/>
      <c r="N77" s="727">
        <f t="shared" si="21"/>
        <v>106.59</v>
      </c>
      <c r="O77" s="727">
        <v>106.59</v>
      </c>
      <c r="P77" s="763"/>
    </row>
    <row r="78" spans="1:16" s="700" customFormat="1" ht="16.5" customHeight="1">
      <c r="A78" s="758"/>
      <c r="B78" s="765" t="s">
        <v>1195</v>
      </c>
      <c r="C78" s="736"/>
      <c r="D78" s="724"/>
      <c r="E78" s="758"/>
      <c r="F78" s="759"/>
      <c r="G78" s="736"/>
      <c r="H78" s="762"/>
      <c r="I78" s="738"/>
      <c r="J78" s="727">
        <f t="shared" si="17"/>
        <v>9323.74</v>
      </c>
      <c r="K78" s="727">
        <f t="shared" si="22"/>
        <v>9323.74</v>
      </c>
      <c r="L78" s="760"/>
      <c r="M78" s="761">
        <v>9323.74</v>
      </c>
      <c r="N78" s="727"/>
      <c r="O78" s="727"/>
      <c r="P78" s="760"/>
    </row>
    <row r="79" spans="1:16" s="700" customFormat="1" ht="16.5" customHeight="1">
      <c r="A79" s="758"/>
      <c r="B79" s="765" t="s">
        <v>1196</v>
      </c>
      <c r="C79" s="736"/>
      <c r="D79" s="724"/>
      <c r="E79" s="758"/>
      <c r="F79" s="759"/>
      <c r="G79" s="736"/>
      <c r="H79" s="762"/>
      <c r="I79" s="738"/>
      <c r="J79" s="727">
        <f t="shared" si="17"/>
        <v>20044.8</v>
      </c>
      <c r="K79" s="727"/>
      <c r="L79" s="760"/>
      <c r="M79" s="761"/>
      <c r="N79" s="727">
        <f>SUM(O79:P79)</f>
        <v>20044.8</v>
      </c>
      <c r="O79" s="727">
        <v>20044.8</v>
      </c>
      <c r="P79" s="760"/>
    </row>
    <row r="80" spans="1:16" s="700" customFormat="1" ht="16.5" customHeight="1">
      <c r="A80" s="758"/>
      <c r="B80" s="766" t="s">
        <v>1197</v>
      </c>
      <c r="C80" s="736">
        <f>SUM(C81:C82)</f>
        <v>1610</v>
      </c>
      <c r="D80" s="736">
        <f aca="true" t="shared" si="23" ref="D80:P80">SUM(D81:D82)</f>
        <v>1610</v>
      </c>
      <c r="E80" s="736">
        <f t="shared" si="23"/>
        <v>0</v>
      </c>
      <c r="F80" s="736">
        <f t="shared" si="23"/>
        <v>1610</v>
      </c>
      <c r="G80" s="736">
        <f t="shared" si="23"/>
        <v>0</v>
      </c>
      <c r="H80" s="736">
        <f t="shared" si="23"/>
        <v>0</v>
      </c>
      <c r="I80" s="736">
        <f t="shared" si="23"/>
        <v>0</v>
      </c>
      <c r="J80" s="726">
        <f t="shared" si="23"/>
        <v>14716.050000000001</v>
      </c>
      <c r="K80" s="726">
        <f t="shared" si="23"/>
        <v>14716.050000000001</v>
      </c>
      <c r="L80" s="726">
        <f t="shared" si="23"/>
        <v>12893.990000000002</v>
      </c>
      <c r="M80" s="726">
        <f t="shared" si="23"/>
        <v>1822.06</v>
      </c>
      <c r="N80" s="736">
        <f t="shared" si="23"/>
        <v>0</v>
      </c>
      <c r="O80" s="736">
        <f t="shared" si="23"/>
        <v>0</v>
      </c>
      <c r="P80" s="736">
        <f t="shared" si="23"/>
        <v>0</v>
      </c>
    </row>
    <row r="81" spans="1:16" s="700" customFormat="1" ht="16.5" customHeight="1">
      <c r="A81" s="758"/>
      <c r="B81" s="766" t="s">
        <v>1198</v>
      </c>
      <c r="C81" s="736">
        <f t="shared" si="18"/>
        <v>1610</v>
      </c>
      <c r="D81" s="724">
        <f>SUM(E81:F81)</f>
        <v>1610</v>
      </c>
      <c r="E81" s="727"/>
      <c r="F81" s="724">
        <v>1610</v>
      </c>
      <c r="G81" s="736"/>
      <c r="H81" s="758"/>
      <c r="I81" s="738"/>
      <c r="J81" s="727">
        <f t="shared" si="17"/>
        <v>14069.43</v>
      </c>
      <c r="K81" s="727">
        <f>SUM(L81:M81)</f>
        <v>14069.43</v>
      </c>
      <c r="L81" s="767">
        <v>12247.37</v>
      </c>
      <c r="M81" s="727">
        <v>1822.06</v>
      </c>
      <c r="N81" s="727"/>
      <c r="O81" s="760"/>
      <c r="P81" s="763"/>
    </row>
    <row r="82" spans="1:16" s="700" customFormat="1" ht="16.5" customHeight="1">
      <c r="A82" s="758"/>
      <c r="B82" s="766" t="s">
        <v>1199</v>
      </c>
      <c r="C82" s="736"/>
      <c r="D82" s="724"/>
      <c r="E82" s="727"/>
      <c r="F82" s="724"/>
      <c r="G82" s="736"/>
      <c r="H82" s="758"/>
      <c r="I82" s="738"/>
      <c r="J82" s="727">
        <f t="shared" si="17"/>
        <v>646.62</v>
      </c>
      <c r="K82" s="727">
        <f>SUM(L82:M82)</f>
        <v>646.62</v>
      </c>
      <c r="L82" s="767">
        <v>646.62</v>
      </c>
      <c r="M82" s="727"/>
      <c r="N82" s="727"/>
      <c r="O82" s="760"/>
      <c r="P82" s="763"/>
    </row>
    <row r="83" spans="1:16" s="700" customFormat="1" ht="16.5" customHeight="1">
      <c r="A83" s="721"/>
      <c r="B83" s="721" t="s">
        <v>1200</v>
      </c>
      <c r="C83" s="736">
        <f t="shared" si="18"/>
        <v>575</v>
      </c>
      <c r="D83" s="724">
        <f t="shared" si="19"/>
        <v>575</v>
      </c>
      <c r="E83" s="736"/>
      <c r="F83" s="724">
        <v>575</v>
      </c>
      <c r="G83" s="736">
        <f>H83+I83</f>
        <v>0</v>
      </c>
      <c r="H83" s="737"/>
      <c r="I83" s="738"/>
      <c r="J83" s="727">
        <f t="shared" si="17"/>
        <v>575</v>
      </c>
      <c r="K83" s="727">
        <f t="shared" si="22"/>
        <v>575</v>
      </c>
      <c r="L83" s="727"/>
      <c r="M83" s="739">
        <v>575</v>
      </c>
      <c r="N83" s="727"/>
      <c r="O83" s="727"/>
      <c r="P83" s="727"/>
    </row>
    <row r="84" spans="1:16" s="700" customFormat="1" ht="16.5" customHeight="1">
      <c r="A84" s="721"/>
      <c r="B84" s="721" t="s">
        <v>1201</v>
      </c>
      <c r="C84" s="736">
        <f t="shared" si="18"/>
        <v>2500</v>
      </c>
      <c r="D84" s="724">
        <f t="shared" si="19"/>
        <v>2500</v>
      </c>
      <c r="E84" s="736"/>
      <c r="F84" s="724">
        <v>2500</v>
      </c>
      <c r="G84" s="736"/>
      <c r="H84" s="737"/>
      <c r="I84" s="738"/>
      <c r="J84" s="727">
        <f t="shared" si="17"/>
        <v>12766.67</v>
      </c>
      <c r="K84" s="727">
        <f t="shared" si="22"/>
        <v>12766.67</v>
      </c>
      <c r="L84" s="727"/>
      <c r="M84" s="739">
        <v>12766.67</v>
      </c>
      <c r="N84" s="727"/>
      <c r="O84" s="727"/>
      <c r="P84" s="727"/>
    </row>
    <row r="85" spans="1:16" s="700" customFormat="1" ht="16.5" customHeight="1">
      <c r="A85" s="721"/>
      <c r="B85" s="753" t="s">
        <v>1202</v>
      </c>
      <c r="C85" s="736">
        <f t="shared" si="18"/>
        <v>691</v>
      </c>
      <c r="D85" s="724">
        <f t="shared" si="19"/>
        <v>236</v>
      </c>
      <c r="E85" s="736"/>
      <c r="F85" s="724">
        <f>691-I85</f>
        <v>236</v>
      </c>
      <c r="G85" s="736">
        <f>H85+I85</f>
        <v>455</v>
      </c>
      <c r="H85" s="737"/>
      <c r="I85" s="738">
        <v>455</v>
      </c>
      <c r="J85" s="727">
        <f t="shared" si="17"/>
        <v>676.11</v>
      </c>
      <c r="K85" s="727">
        <f t="shared" si="22"/>
        <v>236</v>
      </c>
      <c r="L85" s="727"/>
      <c r="M85" s="739">
        <v>236</v>
      </c>
      <c r="N85" s="727">
        <f>SUM(O85:P85)</f>
        <v>440.11</v>
      </c>
      <c r="O85" s="727"/>
      <c r="P85" s="727">
        <v>440.11</v>
      </c>
    </row>
    <row r="86" spans="1:16" s="700" customFormat="1" ht="16.5" customHeight="1">
      <c r="A86" s="721"/>
      <c r="B86" s="721" t="s">
        <v>1203</v>
      </c>
      <c r="C86" s="736">
        <f t="shared" si="18"/>
        <v>204</v>
      </c>
      <c r="D86" s="724">
        <f t="shared" si="19"/>
        <v>204</v>
      </c>
      <c r="E86" s="736"/>
      <c r="F86" s="724">
        <v>204</v>
      </c>
      <c r="G86" s="736"/>
      <c r="H86" s="737"/>
      <c r="I86" s="738"/>
      <c r="J86" s="727">
        <f t="shared" si="17"/>
        <v>204</v>
      </c>
      <c r="K86" s="727">
        <f t="shared" si="22"/>
        <v>204</v>
      </c>
      <c r="L86" s="727"/>
      <c r="M86" s="768">
        <v>204</v>
      </c>
      <c r="N86" s="727"/>
      <c r="O86" s="727"/>
      <c r="P86" s="727"/>
    </row>
    <row r="87" spans="1:16" s="700" customFormat="1" ht="16.5" customHeight="1">
      <c r="A87" s="721"/>
      <c r="B87" s="721" t="s">
        <v>1204</v>
      </c>
      <c r="C87" s="736">
        <f t="shared" si="18"/>
        <v>0</v>
      </c>
      <c r="D87" s="724">
        <f t="shared" si="19"/>
        <v>0</v>
      </c>
      <c r="E87" s="736"/>
      <c r="F87" s="724"/>
      <c r="G87" s="736"/>
      <c r="H87" s="737"/>
      <c r="I87" s="738"/>
      <c r="J87" s="727">
        <f t="shared" si="17"/>
        <v>34491.53</v>
      </c>
      <c r="K87" s="727">
        <f t="shared" si="22"/>
        <v>34491.53</v>
      </c>
      <c r="L87" s="727"/>
      <c r="M87" s="739">
        <v>34491.53</v>
      </c>
      <c r="N87" s="727"/>
      <c r="O87" s="727"/>
      <c r="P87" s="727"/>
    </row>
    <row r="88" spans="1:16" s="700" customFormat="1" ht="16.5" customHeight="1">
      <c r="A88" s="721"/>
      <c r="B88" s="721" t="s">
        <v>1205</v>
      </c>
      <c r="C88" s="736">
        <f t="shared" si="18"/>
        <v>130</v>
      </c>
      <c r="D88" s="724">
        <f t="shared" si="19"/>
        <v>130</v>
      </c>
      <c r="E88" s="736"/>
      <c r="F88" s="724">
        <v>130</v>
      </c>
      <c r="G88" s="736"/>
      <c r="H88" s="737"/>
      <c r="I88" s="738"/>
      <c r="J88" s="727">
        <f t="shared" si="17"/>
        <v>130</v>
      </c>
      <c r="K88" s="727">
        <f t="shared" si="22"/>
        <v>130</v>
      </c>
      <c r="L88" s="727"/>
      <c r="M88" s="739">
        <v>130</v>
      </c>
      <c r="N88" s="727"/>
      <c r="O88" s="727"/>
      <c r="P88" s="727"/>
    </row>
    <row r="89" spans="1:16" s="700" customFormat="1" ht="16.5" customHeight="1">
      <c r="A89" s="721"/>
      <c r="B89" s="721" t="s">
        <v>1206</v>
      </c>
      <c r="C89" s="736">
        <f t="shared" si="18"/>
        <v>0</v>
      </c>
      <c r="D89" s="724">
        <f t="shared" si="19"/>
        <v>0</v>
      </c>
      <c r="E89" s="736"/>
      <c r="F89" s="736"/>
      <c r="G89" s="736"/>
      <c r="H89" s="736"/>
      <c r="I89" s="736"/>
      <c r="J89" s="727">
        <f t="shared" si="17"/>
        <v>15320.21</v>
      </c>
      <c r="K89" s="727">
        <f t="shared" si="22"/>
        <v>15320.21</v>
      </c>
      <c r="L89" s="727"/>
      <c r="M89" s="727">
        <f>7833+7487.21</f>
        <v>15320.21</v>
      </c>
      <c r="N89" s="727"/>
      <c r="O89" s="727"/>
      <c r="P89" s="727"/>
    </row>
    <row r="90" spans="1:16" s="700" customFormat="1" ht="16.5" customHeight="1">
      <c r="A90" s="721"/>
      <c r="B90" s="721" t="s">
        <v>1207</v>
      </c>
      <c r="C90" s="736">
        <f t="shared" si="18"/>
        <v>350</v>
      </c>
      <c r="D90" s="724">
        <f t="shared" si="19"/>
        <v>210</v>
      </c>
      <c r="E90" s="736"/>
      <c r="F90" s="724">
        <f>350-I90</f>
        <v>210</v>
      </c>
      <c r="G90" s="736">
        <f>H90+I90</f>
        <v>140</v>
      </c>
      <c r="H90" s="737"/>
      <c r="I90" s="738">
        <v>140</v>
      </c>
      <c r="J90" s="727">
        <f t="shared" si="17"/>
        <v>306.14</v>
      </c>
      <c r="K90" s="727">
        <f aca="true" t="shared" si="24" ref="K90:K98">L90+M90</f>
        <v>207.89</v>
      </c>
      <c r="L90" s="727"/>
      <c r="M90" s="739">
        <v>207.89</v>
      </c>
      <c r="N90" s="727">
        <f aca="true" t="shared" si="25" ref="N90:N98">O90+P90</f>
        <v>98.25</v>
      </c>
      <c r="O90" s="727"/>
      <c r="P90" s="727">
        <v>98.25</v>
      </c>
    </row>
    <row r="91" spans="1:16" s="705" customFormat="1" ht="16.5" customHeight="1">
      <c r="A91" s="749"/>
      <c r="B91" s="750" t="s">
        <v>1208</v>
      </c>
      <c r="C91" s="736">
        <f t="shared" si="18"/>
        <v>17122</v>
      </c>
      <c r="D91" s="724">
        <f t="shared" si="19"/>
        <v>0</v>
      </c>
      <c r="E91" s="749"/>
      <c r="F91" s="736">
        <f>17122-I91</f>
        <v>0</v>
      </c>
      <c r="G91" s="736">
        <f>H91+I91</f>
        <v>17122</v>
      </c>
      <c r="H91" s="755"/>
      <c r="I91" s="756">
        <v>17122</v>
      </c>
      <c r="J91" s="727">
        <f t="shared" si="17"/>
        <v>16164.29</v>
      </c>
      <c r="K91" s="727">
        <f t="shared" si="24"/>
        <v>0</v>
      </c>
      <c r="L91" s="752"/>
      <c r="M91" s="757"/>
      <c r="N91" s="727">
        <f t="shared" si="25"/>
        <v>16164.29</v>
      </c>
      <c r="O91" s="752"/>
      <c r="P91" s="752">
        <v>16164.29</v>
      </c>
    </row>
    <row r="92" spans="1:16" s="705" customFormat="1" ht="16.5" customHeight="1">
      <c r="A92" s="749"/>
      <c r="B92" s="750" t="s">
        <v>1209</v>
      </c>
      <c r="C92" s="736">
        <f t="shared" si="18"/>
        <v>200</v>
      </c>
      <c r="D92" s="724">
        <f t="shared" si="19"/>
        <v>200</v>
      </c>
      <c r="E92" s="749"/>
      <c r="F92" s="736">
        <v>200</v>
      </c>
      <c r="G92" s="736">
        <f>H92+I92</f>
        <v>0</v>
      </c>
      <c r="H92" s="755"/>
      <c r="I92" s="756"/>
      <c r="J92" s="727">
        <f t="shared" si="17"/>
        <v>200</v>
      </c>
      <c r="K92" s="727">
        <f t="shared" si="24"/>
        <v>200</v>
      </c>
      <c r="L92" s="752"/>
      <c r="M92" s="757">
        <v>200</v>
      </c>
      <c r="N92" s="727"/>
      <c r="O92" s="752"/>
      <c r="P92" s="752"/>
    </row>
    <row r="93" spans="1:16" s="705" customFormat="1" ht="16.5" customHeight="1">
      <c r="A93" s="749"/>
      <c r="B93" s="750" t="s">
        <v>1210</v>
      </c>
      <c r="C93" s="736">
        <f t="shared" si="18"/>
        <v>144</v>
      </c>
      <c r="D93" s="724">
        <f t="shared" si="19"/>
        <v>144</v>
      </c>
      <c r="E93" s="749"/>
      <c r="F93" s="724">
        <v>144</v>
      </c>
      <c r="G93" s="736">
        <f>H93+I93</f>
        <v>0</v>
      </c>
      <c r="H93" s="755"/>
      <c r="I93" s="756"/>
      <c r="J93" s="727">
        <f t="shared" si="17"/>
        <v>144</v>
      </c>
      <c r="K93" s="727">
        <f t="shared" si="24"/>
        <v>144</v>
      </c>
      <c r="L93" s="752"/>
      <c r="M93" s="757">
        <v>144</v>
      </c>
      <c r="N93" s="727"/>
      <c r="O93" s="752"/>
      <c r="P93" s="752"/>
    </row>
    <row r="94" spans="1:16" s="705" customFormat="1" ht="16.5" customHeight="1">
      <c r="A94" s="749"/>
      <c r="B94" s="750" t="s">
        <v>1211</v>
      </c>
      <c r="C94" s="736">
        <f t="shared" si="18"/>
        <v>250</v>
      </c>
      <c r="D94" s="724">
        <f t="shared" si="19"/>
        <v>250</v>
      </c>
      <c r="E94" s="749"/>
      <c r="F94" s="724">
        <v>250</v>
      </c>
      <c r="G94" s="736">
        <f>H94+I94</f>
        <v>0</v>
      </c>
      <c r="H94" s="724"/>
      <c r="I94" s="724"/>
      <c r="J94" s="727">
        <f t="shared" si="17"/>
        <v>250</v>
      </c>
      <c r="K94" s="727">
        <f t="shared" si="24"/>
        <v>250</v>
      </c>
      <c r="L94" s="769"/>
      <c r="M94" s="727">
        <v>250</v>
      </c>
      <c r="N94" s="770"/>
      <c r="O94" s="771"/>
      <c r="P94" s="772"/>
    </row>
    <row r="95" spans="1:16" s="705" customFormat="1" ht="16.5" customHeight="1">
      <c r="A95" s="749"/>
      <c r="B95" s="773" t="s">
        <v>1212</v>
      </c>
      <c r="C95" s="736">
        <f t="shared" si="18"/>
        <v>100</v>
      </c>
      <c r="D95" s="724">
        <f t="shared" si="19"/>
        <v>100</v>
      </c>
      <c r="E95" s="749"/>
      <c r="F95" s="724">
        <v>100</v>
      </c>
      <c r="G95" s="736"/>
      <c r="H95" s="724"/>
      <c r="I95" s="724"/>
      <c r="J95" s="727">
        <f t="shared" si="17"/>
        <v>100</v>
      </c>
      <c r="K95" s="727">
        <f t="shared" si="24"/>
        <v>100</v>
      </c>
      <c r="L95" s="769"/>
      <c r="M95" s="727">
        <v>100</v>
      </c>
      <c r="N95" s="727"/>
      <c r="O95" s="769"/>
      <c r="P95" s="752"/>
    </row>
    <row r="96" spans="1:16" s="705" customFormat="1" ht="16.5" customHeight="1">
      <c r="A96" s="732"/>
      <c r="B96" s="729" t="s">
        <v>1213</v>
      </c>
      <c r="C96" s="730"/>
      <c r="D96" s="731"/>
      <c r="E96" s="732"/>
      <c r="F96" s="731"/>
      <c r="G96" s="730"/>
      <c r="H96" s="731"/>
      <c r="I96" s="731"/>
      <c r="J96" s="727">
        <f t="shared" si="17"/>
        <v>2599.21</v>
      </c>
      <c r="K96" s="727">
        <f t="shared" si="24"/>
        <v>2499.21</v>
      </c>
      <c r="L96" s="733"/>
      <c r="M96" s="734">
        <v>2499.21</v>
      </c>
      <c r="N96" s="727">
        <f t="shared" si="25"/>
        <v>100</v>
      </c>
      <c r="O96" s="769"/>
      <c r="P96" s="735">
        <v>100</v>
      </c>
    </row>
    <row r="97" spans="1:16" s="705" customFormat="1" ht="16.5" customHeight="1">
      <c r="A97" s="732"/>
      <c r="B97" s="729" t="s">
        <v>1214</v>
      </c>
      <c r="C97" s="730"/>
      <c r="D97" s="731"/>
      <c r="E97" s="732"/>
      <c r="F97" s="731"/>
      <c r="G97" s="730"/>
      <c r="H97" s="731"/>
      <c r="I97" s="731"/>
      <c r="J97" s="727">
        <f t="shared" si="17"/>
        <v>371</v>
      </c>
      <c r="K97" s="727">
        <f t="shared" si="24"/>
        <v>371</v>
      </c>
      <c r="L97" s="733"/>
      <c r="M97" s="734">
        <v>371</v>
      </c>
      <c r="N97" s="734"/>
      <c r="O97" s="734"/>
      <c r="P97" s="735"/>
    </row>
    <row r="98" spans="1:16" s="785" customFormat="1" ht="16.5" customHeight="1">
      <c r="A98" s="774"/>
      <c r="B98" s="775" t="s">
        <v>1215</v>
      </c>
      <c r="C98" s="776"/>
      <c r="D98" s="777">
        <f t="shared" si="19"/>
        <v>0</v>
      </c>
      <c r="E98" s="778"/>
      <c r="F98" s="779"/>
      <c r="G98" s="780"/>
      <c r="H98" s="781"/>
      <c r="I98" s="781"/>
      <c r="J98" s="782">
        <f t="shared" si="17"/>
        <v>361.81</v>
      </c>
      <c r="K98" s="782">
        <f t="shared" si="24"/>
        <v>361.81</v>
      </c>
      <c r="L98" s="783"/>
      <c r="M98" s="782">
        <v>361.81</v>
      </c>
      <c r="N98" s="782">
        <f t="shared" si="25"/>
        <v>0</v>
      </c>
      <c r="O98" s="783"/>
      <c r="P98" s="784"/>
    </row>
    <row r="99" spans="1:16" ht="16.5" customHeight="1">
      <c r="A99" s="705"/>
      <c r="B99" s="705"/>
      <c r="C99" s="705"/>
      <c r="D99" s="786"/>
      <c r="E99" s="705"/>
      <c r="F99" s="786"/>
      <c r="G99" s="705"/>
      <c r="H99" s="787"/>
      <c r="I99" s="788"/>
      <c r="J99" s="789"/>
      <c r="K99" s="789"/>
      <c r="L99" s="789"/>
      <c r="M99" s="790"/>
      <c r="N99" s="789"/>
      <c r="O99" s="789"/>
      <c r="P99" s="789"/>
    </row>
    <row r="100" spans="10:16" ht="16.5" customHeight="1">
      <c r="J100" s="1110"/>
      <c r="K100" s="1110"/>
      <c r="L100" s="1110"/>
      <c r="M100" s="1110"/>
      <c r="N100" s="1110"/>
      <c r="O100" s="1110"/>
      <c r="P100" s="1110"/>
    </row>
    <row r="101" spans="10:16" ht="16.5" customHeight="1">
      <c r="J101" s="1111"/>
      <c r="K101" s="1111"/>
      <c r="L101" s="1111"/>
      <c r="M101" s="1111"/>
      <c r="N101" s="1111"/>
      <c r="O101" s="1111"/>
      <c r="P101" s="1111"/>
    </row>
    <row r="102" spans="10:16" ht="16.5" customHeight="1">
      <c r="J102" s="1112"/>
      <c r="K102" s="1112"/>
      <c r="L102" s="1112"/>
      <c r="M102" s="1112"/>
      <c r="N102" s="1112"/>
      <c r="O102" s="1112"/>
      <c r="P102" s="1112"/>
    </row>
    <row r="103" ht="16.5" customHeight="1"/>
    <row r="111" spans="10:16" ht="12.75">
      <c r="J111" s="1113"/>
      <c r="K111" s="1113"/>
      <c r="L111" s="1113"/>
      <c r="M111" s="1113"/>
      <c r="N111" s="1113"/>
      <c r="O111" s="1113"/>
      <c r="P111" s="1113"/>
    </row>
    <row r="112" spans="10:16" ht="12.75">
      <c r="J112" s="1109"/>
      <c r="K112" s="1109"/>
      <c r="L112" s="1109"/>
      <c r="M112" s="1109"/>
      <c r="N112" s="1109"/>
      <c r="O112" s="1109"/>
      <c r="P112" s="1109"/>
    </row>
    <row r="113" spans="10:16" ht="12.75">
      <c r="J113" s="1109"/>
      <c r="K113" s="1109"/>
      <c r="L113" s="1109"/>
      <c r="M113" s="1109"/>
      <c r="N113" s="1109"/>
      <c r="O113" s="1109"/>
      <c r="P113" s="1109"/>
    </row>
  </sheetData>
  <sheetProtection/>
  <mergeCells count="19">
    <mergeCell ref="K1:P1"/>
    <mergeCell ref="A2:P2"/>
    <mergeCell ref="A3:P3"/>
    <mergeCell ref="L4:P4"/>
    <mergeCell ref="J5:J7"/>
    <mergeCell ref="K5:P5"/>
    <mergeCell ref="D6:F6"/>
    <mergeCell ref="G6:I6"/>
    <mergeCell ref="K6:M6"/>
    <mergeCell ref="A5:A7"/>
    <mergeCell ref="B5:B7"/>
    <mergeCell ref="C5:C7"/>
    <mergeCell ref="D5:I5"/>
    <mergeCell ref="J112:P112"/>
    <mergeCell ref="J113:P113"/>
    <mergeCell ref="J100:P100"/>
    <mergeCell ref="J101:P101"/>
    <mergeCell ref="J102:P102"/>
    <mergeCell ref="J111:P111"/>
  </mergeCells>
  <printOptions horizontalCentered="1"/>
  <pageMargins left="0.25" right="0.25" top="0.25" bottom="0.25" header="0.5" footer="0.5"/>
  <pageSetup horizontalDpi="600" verticalDpi="600" orientation="landscape" paperSize="9" scale="70" r:id="rId1"/>
</worksheet>
</file>

<file path=xl/worksheets/sheet6.xml><?xml version="1.0" encoding="utf-8"?>
<worksheet xmlns="http://schemas.openxmlformats.org/spreadsheetml/2006/main" xmlns:r="http://schemas.openxmlformats.org/officeDocument/2006/relationships">
  <dimension ref="A1:Z45"/>
  <sheetViews>
    <sheetView zoomScalePageLayoutView="0" workbookViewId="0" topLeftCell="A4">
      <selection activeCell="I12" sqref="I11:I12"/>
    </sheetView>
  </sheetViews>
  <sheetFormatPr defaultColWidth="9.140625" defaultRowHeight="12.75"/>
  <cols>
    <col min="1" max="1" width="3.8515625" style="77" customWidth="1"/>
    <col min="2" max="2" width="26.140625" style="77" customWidth="1"/>
    <col min="3" max="3" width="13.140625" style="76" customWidth="1"/>
    <col min="4" max="4" width="14.421875" style="77" customWidth="1"/>
    <col min="5" max="5" width="14.7109375" style="76" customWidth="1"/>
    <col min="6" max="6" width="13.140625" style="76" customWidth="1"/>
    <col min="7" max="7" width="15.00390625" style="76" customWidth="1"/>
    <col min="8" max="8" width="14.28125" style="76" customWidth="1"/>
    <col min="9" max="9" width="13.57421875" style="76" customWidth="1"/>
    <col min="10" max="10" width="11.8515625" style="76" customWidth="1"/>
    <col min="11" max="11" width="8.57421875" style="77" customWidth="1"/>
    <col min="12" max="12" width="9.140625" style="77" customWidth="1"/>
    <col min="13" max="13" width="23.28125" style="77" hidden="1" customWidth="1"/>
    <col min="14" max="14" width="18.421875" style="77" hidden="1" customWidth="1"/>
    <col min="15" max="15" width="19.57421875" style="77" hidden="1" customWidth="1"/>
    <col min="16" max="16" width="0" style="77" hidden="1" customWidth="1"/>
    <col min="17" max="16384" width="9.140625" style="77" customWidth="1"/>
  </cols>
  <sheetData>
    <row r="1" spans="1:11" ht="18.75">
      <c r="A1" s="1057" t="s">
        <v>799</v>
      </c>
      <c r="B1" s="1057"/>
      <c r="E1" s="78"/>
      <c r="F1" s="78"/>
      <c r="G1" s="1106" t="s">
        <v>1491</v>
      </c>
      <c r="H1" s="1106"/>
      <c r="I1" s="1106"/>
      <c r="J1" s="1106"/>
      <c r="K1" s="1106"/>
    </row>
    <row r="2" spans="1:11" ht="39.75" customHeight="1">
      <c r="A2" s="1126" t="s">
        <v>1059</v>
      </c>
      <c r="B2" s="1126"/>
      <c r="C2" s="1126"/>
      <c r="D2" s="1126"/>
      <c r="E2" s="1126"/>
      <c r="F2" s="1126"/>
      <c r="G2" s="1126"/>
      <c r="H2" s="1126"/>
      <c r="I2" s="1126"/>
      <c r="J2" s="1126"/>
      <c r="K2" s="1126"/>
    </row>
    <row r="3" spans="1:11" ht="21.75" customHeight="1">
      <c r="A3" s="79"/>
      <c r="B3" s="79"/>
      <c r="C3" s="80"/>
      <c r="D3" s="79"/>
      <c r="E3" s="80"/>
      <c r="F3" s="81"/>
      <c r="G3" s="1127" t="s">
        <v>802</v>
      </c>
      <c r="H3" s="1127"/>
      <c r="I3" s="1127"/>
      <c r="J3" s="1127"/>
      <c r="K3" s="1127"/>
    </row>
    <row r="4" spans="1:11" ht="18.75" customHeight="1">
      <c r="A4" s="1048" t="s">
        <v>1038</v>
      </c>
      <c r="B4" s="1048" t="s">
        <v>1039</v>
      </c>
      <c r="C4" s="1048" t="s">
        <v>1060</v>
      </c>
      <c r="D4" s="1048" t="s">
        <v>1061</v>
      </c>
      <c r="E4" s="1135" t="s">
        <v>1040</v>
      </c>
      <c r="F4" s="1136"/>
      <c r="G4" s="1135" t="s">
        <v>1041</v>
      </c>
      <c r="H4" s="1136"/>
      <c r="I4" s="1048" t="s">
        <v>1042</v>
      </c>
      <c r="J4" s="1048" t="s">
        <v>1043</v>
      </c>
      <c r="K4" s="1048" t="s">
        <v>1044</v>
      </c>
    </row>
    <row r="5" spans="1:11" ht="15.75" customHeight="1">
      <c r="A5" s="1130"/>
      <c r="B5" s="1130"/>
      <c r="C5" s="1128"/>
      <c r="D5" s="1128" t="s">
        <v>1045</v>
      </c>
      <c r="E5" s="1048" t="s">
        <v>1046</v>
      </c>
      <c r="F5" s="1048" t="s">
        <v>1047</v>
      </c>
      <c r="G5" s="1048" t="s">
        <v>1046</v>
      </c>
      <c r="H5" s="1048" t="s">
        <v>1048</v>
      </c>
      <c r="I5" s="1128"/>
      <c r="J5" s="1128"/>
      <c r="K5" s="1128"/>
    </row>
    <row r="6" spans="1:11" ht="13.5" customHeight="1">
      <c r="A6" s="1131"/>
      <c r="B6" s="1131"/>
      <c r="C6" s="1129"/>
      <c r="D6" s="1129"/>
      <c r="E6" s="1129"/>
      <c r="F6" s="1134" t="s">
        <v>1049</v>
      </c>
      <c r="G6" s="1129"/>
      <c r="H6" s="1134" t="s">
        <v>1049</v>
      </c>
      <c r="I6" s="1129"/>
      <c r="J6" s="1129"/>
      <c r="K6" s="1129"/>
    </row>
    <row r="7" spans="1:15" ht="24" customHeight="1">
      <c r="A7" s="82"/>
      <c r="B7" s="83" t="s">
        <v>1046</v>
      </c>
      <c r="C7" s="84">
        <f aca="true" t="shared" si="0" ref="C7:J7">SUM(C8:C17)</f>
        <v>3405089</v>
      </c>
      <c r="D7" s="85">
        <f t="shared" si="0"/>
        <v>4763927.040000001</v>
      </c>
      <c r="E7" s="86">
        <f t="shared" si="0"/>
        <v>527124.35</v>
      </c>
      <c r="F7" s="86">
        <f t="shared" si="0"/>
        <v>49891.340000000004</v>
      </c>
      <c r="G7" s="86">
        <f t="shared" si="0"/>
        <v>3861439.0700000003</v>
      </c>
      <c r="H7" s="86">
        <f t="shared" si="0"/>
        <v>2221855.4</v>
      </c>
      <c r="I7" s="85">
        <f t="shared" si="0"/>
        <v>361697.22</v>
      </c>
      <c r="J7" s="86">
        <f t="shared" si="0"/>
        <v>13666.400000000001</v>
      </c>
      <c r="K7" s="87">
        <f aca="true" t="shared" si="1" ref="K7:K17">SUM(D7/C7)</f>
        <v>1.39906094671828</v>
      </c>
      <c r="M7" s="88">
        <f>SUM(M8:M17)</f>
        <v>3426677.9260119996</v>
      </c>
      <c r="N7" s="88">
        <f>SUM(N8:N17)</f>
        <v>4414613.434709</v>
      </c>
      <c r="O7" s="88">
        <f>SUM(O8:O17)</f>
        <v>-349313.6052910005</v>
      </c>
    </row>
    <row r="8" spans="1:15" ht="24" customHeight="1">
      <c r="A8" s="89">
        <v>1</v>
      </c>
      <c r="B8" s="90" t="s">
        <v>1050</v>
      </c>
      <c r="C8" s="91">
        <v>598824</v>
      </c>
      <c r="D8" s="92">
        <f>SUM(E8,G8,I8,J8)</f>
        <v>762240.22</v>
      </c>
      <c r="E8" s="93">
        <f>5586.84+28558.99+14766.47+3049.76</f>
        <v>51962.060000000005</v>
      </c>
      <c r="F8" s="93">
        <f>2669.64+93.56+580.91+58.16</f>
        <v>3402.2699999999995</v>
      </c>
      <c r="G8" s="93">
        <f>641282.1+10110.84+7310.4+3357.45</f>
        <v>662060.7899999999</v>
      </c>
      <c r="H8" s="93">
        <f>412168.24+561.34+44.41+3622.45+20.01+1530.29</f>
        <v>417946.74</v>
      </c>
      <c r="I8" s="93">
        <v>45821</v>
      </c>
      <c r="J8" s="93">
        <v>2396.37</v>
      </c>
      <c r="K8" s="94">
        <f t="shared" si="1"/>
        <v>1.2728952413396923</v>
      </c>
      <c r="M8" s="95">
        <v>623840.231787</v>
      </c>
      <c r="N8" s="95">
        <v>724661.462049</v>
      </c>
      <c r="O8" s="95">
        <f aca="true" t="shared" si="2" ref="O8:O17">N8-D8</f>
        <v>-37578.75795100001</v>
      </c>
    </row>
    <row r="9" spans="1:15" ht="24" customHeight="1">
      <c r="A9" s="89">
        <v>2</v>
      </c>
      <c r="B9" s="90" t="s">
        <v>1051</v>
      </c>
      <c r="C9" s="91">
        <v>422682</v>
      </c>
      <c r="D9" s="92">
        <f aca="true" t="shared" si="3" ref="D9:D17">SUM(E9,G9,I9,J9)</f>
        <v>574273.3700000001</v>
      </c>
      <c r="E9" s="93">
        <f>34458.63+14778.05</f>
        <v>49236.67999999999</v>
      </c>
      <c r="F9" s="93">
        <f>2632.04+17775.79</f>
        <v>20407.83</v>
      </c>
      <c r="G9" s="93">
        <f>485307.42+12531.58+8630.66+928.92</f>
        <v>507398.57999999996</v>
      </c>
      <c r="H9" s="93">
        <f>299887.04+468.63+104.21+2165.15+17.83+928.92</f>
        <v>303571.78</v>
      </c>
      <c r="I9" s="93">
        <v>17082.55</v>
      </c>
      <c r="J9" s="93">
        <v>555.56</v>
      </c>
      <c r="K9" s="94">
        <f t="shared" si="1"/>
        <v>1.3586416502240457</v>
      </c>
      <c r="M9" s="95">
        <v>441438.202493</v>
      </c>
      <c r="N9" s="95">
        <v>509135.623102</v>
      </c>
      <c r="O9" s="95">
        <f t="shared" si="2"/>
        <v>-65137.74689800013</v>
      </c>
    </row>
    <row r="10" spans="1:15" ht="24" customHeight="1">
      <c r="A10" s="89">
        <v>3</v>
      </c>
      <c r="B10" s="90" t="s">
        <v>1052</v>
      </c>
      <c r="C10" s="91">
        <v>263736</v>
      </c>
      <c r="D10" s="92">
        <f t="shared" si="3"/>
        <v>401577.24000000005</v>
      </c>
      <c r="E10" s="93">
        <f>173.52+34557.19+25997.81</f>
        <v>60728.520000000004</v>
      </c>
      <c r="F10" s="93">
        <v>1181.82</v>
      </c>
      <c r="G10" s="93">
        <f>299473.38+13890.71+2945.77+1871.54</f>
        <v>318181.4</v>
      </c>
      <c r="H10" s="93">
        <f>155372.71+403.98+49.8+1369.39+82.35</f>
        <v>157278.23</v>
      </c>
      <c r="I10" s="93">
        <v>21992.08</v>
      </c>
      <c r="J10" s="93">
        <v>675.24</v>
      </c>
      <c r="K10" s="94">
        <f t="shared" si="1"/>
        <v>1.5226485576485578</v>
      </c>
      <c r="M10" s="95">
        <v>277251.154289</v>
      </c>
      <c r="N10" s="95">
        <v>416448.459273</v>
      </c>
      <c r="O10" s="95">
        <f t="shared" si="2"/>
        <v>14871.219272999966</v>
      </c>
    </row>
    <row r="11" spans="1:15" ht="24" customHeight="1">
      <c r="A11" s="89">
        <v>4</v>
      </c>
      <c r="B11" s="90" t="s">
        <v>1053</v>
      </c>
      <c r="C11" s="91">
        <v>318476</v>
      </c>
      <c r="D11" s="92">
        <f>SUM(E11,G11,I11,J11)</f>
        <v>456492.18</v>
      </c>
      <c r="E11" s="93">
        <f>40801.83+17541.68+222.43</f>
        <v>58565.94</v>
      </c>
      <c r="F11" s="93">
        <f>2058.7+30</f>
        <v>2088.7</v>
      </c>
      <c r="G11" s="93">
        <f>362300.82+6661.05+2228.32+109.38</f>
        <v>371299.57</v>
      </c>
      <c r="H11" s="93">
        <f>220102.21+488.97+66+529+15+109.38</f>
        <v>221310.56</v>
      </c>
      <c r="I11" s="93">
        <v>25576.67</v>
      </c>
      <c r="J11" s="93">
        <v>1050</v>
      </c>
      <c r="K11" s="94">
        <f t="shared" si="1"/>
        <v>1.4333644607442946</v>
      </c>
      <c r="M11" s="95">
        <v>332670.963104</v>
      </c>
      <c r="N11" s="95">
        <v>410761.477073</v>
      </c>
      <c r="O11" s="95">
        <f t="shared" si="2"/>
        <v>-45730.702927000006</v>
      </c>
    </row>
    <row r="12" spans="1:15" ht="24" customHeight="1">
      <c r="A12" s="89">
        <v>5</v>
      </c>
      <c r="B12" s="90" t="s">
        <v>1054</v>
      </c>
      <c r="C12" s="91">
        <v>313141</v>
      </c>
      <c r="D12" s="92">
        <f>SUM(E12,G12,I12,J12)</f>
        <v>493959.23000000004</v>
      </c>
      <c r="E12" s="96">
        <f>11048.4+46289.16+44333.17+68.08</f>
        <v>101738.81000000001</v>
      </c>
      <c r="F12" s="96">
        <f>1425.71+298.97+63.44</f>
        <v>1788.1200000000001</v>
      </c>
      <c r="G12" s="96">
        <f>344629.46+15713.97+5277.09+83.09</f>
        <v>365703.61000000004</v>
      </c>
      <c r="H12" s="96">
        <f>197688.04+401.35+55+20.54+2417.27+20+83.09</f>
        <v>200685.29</v>
      </c>
      <c r="I12" s="93">
        <v>25502.59</v>
      </c>
      <c r="J12" s="93">
        <v>1014.22</v>
      </c>
      <c r="K12" s="94">
        <f t="shared" si="1"/>
        <v>1.577433903576983</v>
      </c>
      <c r="M12" s="97">
        <v>310372.71628</v>
      </c>
      <c r="N12" s="95">
        <v>446042.304878</v>
      </c>
      <c r="O12" s="95">
        <f t="shared" si="2"/>
        <v>-47916.925122000044</v>
      </c>
    </row>
    <row r="13" spans="1:15" ht="24" customHeight="1">
      <c r="A13" s="89">
        <v>6</v>
      </c>
      <c r="B13" s="90" t="s">
        <v>1062</v>
      </c>
      <c r="C13" s="91">
        <v>328258</v>
      </c>
      <c r="D13" s="92">
        <f>SUM(E13,G13,I13,J13)</f>
        <v>531178.3600000001</v>
      </c>
      <c r="E13" s="93">
        <f>150+40865.2+5779.06+2990</f>
        <v>49784.259999999995</v>
      </c>
      <c r="F13" s="93">
        <f>28.36+9270.29+3196.12+1929.72</f>
        <v>14424.49</v>
      </c>
      <c r="G13" s="93">
        <f>348717.15+16206.84+5536.83</f>
        <v>370460.82000000007</v>
      </c>
      <c r="H13" s="93">
        <f>216223.85+391.47+15.4+303.32</f>
        <v>216934.04</v>
      </c>
      <c r="I13" s="93">
        <v>106600.98</v>
      </c>
      <c r="J13" s="93">
        <v>4332.3</v>
      </c>
      <c r="K13" s="94">
        <f t="shared" si="1"/>
        <v>1.6181733880057763</v>
      </c>
      <c r="M13" s="95">
        <v>325053.030086</v>
      </c>
      <c r="N13" s="95">
        <v>527487.871709</v>
      </c>
      <c r="O13" s="95">
        <f t="shared" si="2"/>
        <v>-3690.4882910001324</v>
      </c>
    </row>
    <row r="14" spans="1:15" ht="24" customHeight="1">
      <c r="A14" s="89">
        <v>7</v>
      </c>
      <c r="B14" s="90" t="s">
        <v>1055</v>
      </c>
      <c r="C14" s="91">
        <v>364737</v>
      </c>
      <c r="D14" s="92">
        <f t="shared" si="3"/>
        <v>523097.8100000001</v>
      </c>
      <c r="E14" s="93">
        <f>200.76+32990.95+52768.21+360.36</f>
        <v>86320.28</v>
      </c>
      <c r="F14" s="93">
        <v>2572.01</v>
      </c>
      <c r="G14" s="93">
        <f>392174.78+17987.44+3891.09+396.63</f>
        <v>414449.94000000006</v>
      </c>
      <c r="H14" s="93">
        <f>255235.19+301.94+78+1333.65+84.41</f>
        <v>257033.19</v>
      </c>
      <c r="I14" s="93">
        <v>19193.26</v>
      </c>
      <c r="J14" s="93">
        <v>3134.33</v>
      </c>
      <c r="K14" s="94">
        <f t="shared" si="1"/>
        <v>1.434178078999389</v>
      </c>
      <c r="M14" s="95">
        <v>363586.008312</v>
      </c>
      <c r="N14" s="95">
        <v>512383.900332</v>
      </c>
      <c r="O14" s="95">
        <f t="shared" si="2"/>
        <v>-10713.909668000124</v>
      </c>
    </row>
    <row r="15" spans="1:15" ht="24" customHeight="1">
      <c r="A15" s="89">
        <v>8</v>
      </c>
      <c r="B15" s="90" t="s">
        <v>1056</v>
      </c>
      <c r="C15" s="91">
        <v>358689</v>
      </c>
      <c r="D15" s="92">
        <f>SUM(E15,G15,I15,J15)</f>
        <v>392335.86000000004</v>
      </c>
      <c r="E15" s="93">
        <f>6375+199.98</f>
        <v>6574.98</v>
      </c>
      <c r="F15" s="93">
        <v>3625</v>
      </c>
      <c r="G15" s="93">
        <f>321385.5+448.84+230.46+1865.15</f>
        <v>323929.95000000007</v>
      </c>
      <c r="H15" s="93">
        <f>144707.81+171.59+13+10+979.25</f>
        <v>145881.65</v>
      </c>
      <c r="I15" s="93">
        <v>61381.84</v>
      </c>
      <c r="J15" s="93">
        <v>449.09</v>
      </c>
      <c r="K15" s="94">
        <f t="shared" si="1"/>
        <v>1.0938051069310741</v>
      </c>
      <c r="M15" s="95">
        <v>314070.205706</v>
      </c>
      <c r="N15" s="95">
        <v>345937.115154</v>
      </c>
      <c r="O15" s="95">
        <f t="shared" si="2"/>
        <v>-46398.744846000045</v>
      </c>
    </row>
    <row r="16" spans="1:15" s="102" customFormat="1" ht="24" customHeight="1">
      <c r="A16" s="89">
        <v>9</v>
      </c>
      <c r="B16" s="98" t="s">
        <v>1057</v>
      </c>
      <c r="C16" s="99">
        <v>91628</v>
      </c>
      <c r="D16" s="92">
        <f>SUM(E16,G16,I16,J16)</f>
        <v>119167.82999999999</v>
      </c>
      <c r="E16" s="100">
        <f>5123.5+637.62+100</f>
        <v>5861.12</v>
      </c>
      <c r="F16" s="100">
        <v>1.1</v>
      </c>
      <c r="G16" s="100">
        <f>105467.34+577.42+417.39+144.69</f>
        <v>106606.84</v>
      </c>
      <c r="H16" s="100">
        <f>48037.39+6+149.39+144.69</f>
        <v>48337.47</v>
      </c>
      <c r="I16" s="100">
        <v>6680.08</v>
      </c>
      <c r="J16" s="100">
        <v>19.79</v>
      </c>
      <c r="K16" s="101">
        <f t="shared" si="1"/>
        <v>1.3005612913083335</v>
      </c>
      <c r="M16" s="103">
        <v>95043.560412</v>
      </c>
      <c r="N16" s="95">
        <v>109774.757242</v>
      </c>
      <c r="O16" s="95">
        <f t="shared" si="2"/>
        <v>-9393.07275799998</v>
      </c>
    </row>
    <row r="17" spans="1:15" ht="24" customHeight="1">
      <c r="A17" s="89">
        <v>10</v>
      </c>
      <c r="B17" s="90" t="s">
        <v>1058</v>
      </c>
      <c r="C17" s="91">
        <v>344918</v>
      </c>
      <c r="D17" s="92">
        <f t="shared" si="3"/>
        <v>509604.94</v>
      </c>
      <c r="E17" s="93">
        <f>42265.57+11102.75+2983.38</f>
        <v>56351.7</v>
      </c>
      <c r="F17" s="93">
        <v>400</v>
      </c>
      <c r="G17" s="93">
        <f>394333.57+19953.15+7060.85</f>
        <v>421347.57</v>
      </c>
      <c r="H17" s="93">
        <f>251008.7+351.89+88.07+1427.79</f>
        <v>252876.45000000004</v>
      </c>
      <c r="I17" s="93">
        <v>31866.17</v>
      </c>
      <c r="J17" s="93">
        <v>39.5</v>
      </c>
      <c r="K17" s="94">
        <f t="shared" si="1"/>
        <v>1.4774669341698607</v>
      </c>
      <c r="M17" s="95">
        <v>343351.853543</v>
      </c>
      <c r="N17" s="95">
        <v>411980.463897</v>
      </c>
      <c r="O17" s="95">
        <f t="shared" si="2"/>
        <v>-97624.476103</v>
      </c>
    </row>
    <row r="18" spans="1:14" ht="18.75">
      <c r="A18" s="104"/>
      <c r="B18" s="105"/>
      <c r="C18" s="106"/>
      <c r="D18" s="107"/>
      <c r="E18" s="106"/>
      <c r="F18" s="106"/>
      <c r="G18" s="106"/>
      <c r="H18" s="106"/>
      <c r="I18" s="106"/>
      <c r="J18" s="106"/>
      <c r="K18" s="106"/>
      <c r="N18" s="95">
        <v>1000000</v>
      </c>
    </row>
    <row r="19" spans="1:11" ht="18.75">
      <c r="A19" s="108"/>
      <c r="B19" s="108"/>
      <c r="C19" s="109"/>
      <c r="D19" s="110"/>
      <c r="E19" s="109"/>
      <c r="F19" s="109"/>
      <c r="G19" s="109"/>
      <c r="H19" s="109"/>
      <c r="I19" s="109"/>
      <c r="J19" s="109"/>
      <c r="K19" s="111"/>
    </row>
    <row r="20" spans="1:11" ht="18.75">
      <c r="A20" s="108"/>
      <c r="B20" s="108"/>
      <c r="C20" s="109"/>
      <c r="D20" s="110"/>
      <c r="E20" s="109"/>
      <c r="F20" s="109"/>
      <c r="G20" s="1132"/>
      <c r="H20" s="1132"/>
      <c r="I20" s="1132"/>
      <c r="J20" s="1132"/>
      <c r="K20" s="1132"/>
    </row>
    <row r="21" spans="1:11" ht="18.75">
      <c r="A21" s="108"/>
      <c r="B21" s="108"/>
      <c r="C21" s="109"/>
      <c r="D21" s="110"/>
      <c r="E21" s="109"/>
      <c r="F21" s="109"/>
      <c r="G21" s="1133"/>
      <c r="H21" s="1133"/>
      <c r="I21" s="1133"/>
      <c r="J21" s="1133"/>
      <c r="K21" s="1133"/>
    </row>
    <row r="22" spans="1:11" ht="18.75">
      <c r="A22" s="108"/>
      <c r="B22" s="108"/>
      <c r="C22" s="109"/>
      <c r="D22" s="110"/>
      <c r="E22" s="109"/>
      <c r="F22" s="109"/>
      <c r="G22" s="109"/>
      <c r="H22" s="109"/>
      <c r="I22" s="109"/>
      <c r="J22" s="109"/>
      <c r="K22" s="111"/>
    </row>
    <row r="23" spans="1:11" ht="18.75">
      <c r="A23" s="108"/>
      <c r="B23" s="108"/>
      <c r="C23" s="109"/>
      <c r="D23" s="111"/>
      <c r="E23" s="109"/>
      <c r="F23" s="109"/>
      <c r="G23" s="109"/>
      <c r="H23" s="109"/>
      <c r="I23" s="109"/>
      <c r="J23" s="109"/>
      <c r="K23" s="111"/>
    </row>
    <row r="24" spans="1:11" ht="18.75">
      <c r="A24" s="108"/>
      <c r="B24" s="108"/>
      <c r="C24" s="109"/>
      <c r="D24" s="111"/>
      <c r="E24" s="109"/>
      <c r="F24" s="109"/>
      <c r="G24" s="109"/>
      <c r="H24" s="109"/>
      <c r="I24" s="109"/>
      <c r="J24" s="109"/>
      <c r="K24" s="111"/>
    </row>
    <row r="25" spans="1:11" ht="18.75">
      <c r="A25" s="108"/>
      <c r="B25" s="108"/>
      <c r="C25" s="109"/>
      <c r="D25" s="111"/>
      <c r="E25" s="109"/>
      <c r="F25" s="109"/>
      <c r="G25" s="109"/>
      <c r="H25" s="109"/>
      <c r="I25" s="109"/>
      <c r="J25" s="109"/>
      <c r="K25" s="111"/>
    </row>
    <row r="26" spans="1:11" ht="18.75">
      <c r="A26" s="108"/>
      <c r="B26" s="108"/>
      <c r="C26" s="109"/>
      <c r="D26" s="111"/>
      <c r="E26" s="109"/>
      <c r="F26" s="109"/>
      <c r="G26" s="109"/>
      <c r="H26" s="109"/>
      <c r="I26" s="109"/>
      <c r="J26" s="109"/>
      <c r="K26" s="111"/>
    </row>
    <row r="27" spans="3:10" s="112" customFormat="1" ht="18.75">
      <c r="C27" s="113"/>
      <c r="D27" s="114"/>
      <c r="E27" s="113"/>
      <c r="F27" s="113"/>
      <c r="G27" s="113"/>
      <c r="H27" s="113"/>
      <c r="I27" s="113"/>
      <c r="J27" s="113"/>
    </row>
    <row r="28" spans="2:5" ht="18.75">
      <c r="B28" s="90"/>
      <c r="D28" s="115"/>
      <c r="E28" s="116"/>
    </row>
    <row r="29" spans="2:5" ht="18.75">
      <c r="B29" s="90"/>
      <c r="D29" s="115"/>
      <c r="E29" s="116"/>
    </row>
    <row r="30" spans="2:5" ht="18.75">
      <c r="B30" s="90"/>
      <c r="D30" s="115"/>
      <c r="E30" s="116"/>
    </row>
    <row r="31" spans="2:5" ht="18.75">
      <c r="B31" s="90"/>
      <c r="D31" s="115"/>
      <c r="E31" s="116"/>
    </row>
    <row r="32" spans="2:5" ht="18.75">
      <c r="B32" s="90"/>
      <c r="D32" s="115"/>
      <c r="E32" s="116"/>
    </row>
    <row r="33" spans="2:5" ht="18.75">
      <c r="B33" s="90"/>
      <c r="D33" s="115"/>
      <c r="E33" s="116"/>
    </row>
    <row r="34" spans="2:5" ht="18.75">
      <c r="B34" s="90"/>
      <c r="D34" s="115"/>
      <c r="E34" s="116"/>
    </row>
    <row r="35" spans="2:5" ht="18.75">
      <c r="B35" s="90"/>
      <c r="D35" s="115"/>
      <c r="E35" s="116"/>
    </row>
    <row r="36" spans="2:26" ht="18.75">
      <c r="B36" s="90"/>
      <c r="D36" s="117"/>
      <c r="E36" s="118"/>
      <c r="F36" s="119"/>
      <c r="G36" s="120"/>
      <c r="H36" s="119"/>
      <c r="I36" s="119"/>
      <c r="J36" s="119"/>
      <c r="K36" s="121"/>
      <c r="L36" s="121"/>
      <c r="M36" s="121"/>
      <c r="N36" s="121"/>
      <c r="O36" s="121"/>
      <c r="P36" s="121"/>
      <c r="Q36" s="121"/>
      <c r="R36" s="121"/>
      <c r="S36" s="121"/>
      <c r="T36" s="121"/>
      <c r="U36" s="121"/>
      <c r="V36" s="121"/>
      <c r="W36" s="121"/>
      <c r="X36" s="121"/>
      <c r="Y36" s="121"/>
      <c r="Z36" s="121"/>
    </row>
    <row r="37" spans="2:9" ht="18.75">
      <c r="B37" s="90"/>
      <c r="D37" s="115"/>
      <c r="E37" s="116"/>
      <c r="F37" s="118"/>
      <c r="G37" s="122"/>
      <c r="H37" s="122"/>
      <c r="I37" s="122"/>
    </row>
    <row r="41" ht="18.75">
      <c r="F41" s="123">
        <f>'[1]Sheet2'!$AD$33</f>
        <v>100000000</v>
      </c>
    </row>
    <row r="42" ht="18.75">
      <c r="F42" s="123">
        <f>'[1]Sheet2'!$AD$103</f>
        <v>1685629297</v>
      </c>
    </row>
    <row r="43" ht="18.75">
      <c r="F43" s="123">
        <f>'[1]Sheet2'!$AD$148</f>
        <v>1295297700</v>
      </c>
    </row>
    <row r="44" ht="18.75">
      <c r="F44" s="123">
        <f>'[1]Sheet2'!$AD$245</f>
        <v>3795703</v>
      </c>
    </row>
    <row r="45" ht="18.75">
      <c r="F45" s="123">
        <v>3084.7227</v>
      </c>
    </row>
  </sheetData>
  <sheetProtection/>
  <mergeCells count="19">
    <mergeCell ref="E4:F4"/>
    <mergeCell ref="G4:H4"/>
    <mergeCell ref="I4:I6"/>
    <mergeCell ref="G20:K20"/>
    <mergeCell ref="G21:K21"/>
    <mergeCell ref="E5:E6"/>
    <mergeCell ref="F5:F6"/>
    <mergeCell ref="G5:G6"/>
    <mergeCell ref="H5:H6"/>
    <mergeCell ref="A1:B1"/>
    <mergeCell ref="A2:K2"/>
    <mergeCell ref="G1:K1"/>
    <mergeCell ref="G3:K3"/>
    <mergeCell ref="J4:J6"/>
    <mergeCell ref="A4:A6"/>
    <mergeCell ref="B4:B6"/>
    <mergeCell ref="C4:C6"/>
    <mergeCell ref="D4:D6"/>
    <mergeCell ref="K4:K6"/>
  </mergeCells>
  <printOptions horizontalCentered="1"/>
  <pageMargins left="0.25" right="0.25" top="0.5" bottom="0.25" header="0.5" footer="0.5"/>
  <pageSetup horizontalDpi="600" verticalDpi="600" orientation="landscape" paperSize="9" scale="95" r:id="rId1"/>
</worksheet>
</file>

<file path=xl/worksheets/sheet7.xml><?xml version="1.0" encoding="utf-8"?>
<worksheet xmlns="http://schemas.openxmlformats.org/spreadsheetml/2006/main" xmlns:r="http://schemas.openxmlformats.org/officeDocument/2006/relationships">
  <sheetPr>
    <tabColor rgb="FF7030A0"/>
  </sheetPr>
  <dimension ref="A1:BB149"/>
  <sheetViews>
    <sheetView zoomScalePageLayoutView="0" workbookViewId="0" topLeftCell="A1">
      <selection activeCell="AO18" sqref="AO18"/>
    </sheetView>
  </sheetViews>
  <sheetFormatPr defaultColWidth="9.140625" defaultRowHeight="16.5" customHeight="1"/>
  <cols>
    <col min="1" max="1" width="3.421875" style="5" customWidth="1"/>
    <col min="2" max="2" width="34.8515625" style="5" customWidth="1"/>
    <col min="3" max="3" width="8.57421875" style="1" customWidth="1"/>
    <col min="4" max="4" width="7.28125" style="1" customWidth="1"/>
    <col min="5" max="5" width="7.8515625" style="1" customWidth="1"/>
    <col min="6" max="7" width="9.7109375" style="1" hidden="1" customWidth="1"/>
    <col min="8" max="8" width="7.421875" style="1" customWidth="1"/>
    <col min="9" max="9" width="6.421875" style="1" customWidth="1"/>
    <col min="10" max="10" width="7.28125" style="1" hidden="1" customWidth="1"/>
    <col min="11" max="11" width="8.7109375" style="1" customWidth="1"/>
    <col min="12" max="13" width="7.00390625" style="1" customWidth="1"/>
    <col min="14" max="14" width="7.8515625" style="1" customWidth="1"/>
    <col min="15" max="15" width="8.7109375" style="1" customWidth="1"/>
    <col min="16" max="16" width="8.421875" style="1" customWidth="1"/>
    <col min="17" max="17" width="8.57421875" style="1" customWidth="1"/>
    <col min="18" max="18" width="7.7109375" style="1" customWidth="1"/>
    <col min="19" max="19" width="8.00390625" style="1" customWidth="1"/>
    <col min="20" max="20" width="7.8515625" style="1" customWidth="1"/>
    <col min="21" max="21" width="7.8515625" style="2" customWidth="1"/>
    <col min="22" max="22" width="7.8515625" style="1" customWidth="1"/>
    <col min="23" max="23" width="8.28125" style="1" hidden="1" customWidth="1"/>
    <col min="24" max="24" width="8.7109375" style="3" customWidth="1"/>
    <col min="25" max="25" width="8.8515625" style="1" hidden="1" customWidth="1"/>
    <col min="26" max="26" width="7.421875" style="1" customWidth="1"/>
    <col min="27" max="27" width="11.28125" style="4" bestFit="1" customWidth="1"/>
    <col min="28" max="28" width="9.8515625" style="5" customWidth="1"/>
    <col min="29" max="29" width="9.57421875" style="6" customWidth="1"/>
    <col min="30" max="30" width="10.140625" style="5" customWidth="1"/>
    <col min="31" max="31" width="8.8515625" style="5" customWidth="1"/>
    <col min="32" max="32" width="9.00390625" style="5" customWidth="1"/>
    <col min="33" max="33" width="7.57421875" style="5" customWidth="1"/>
    <col min="34" max="34" width="9.140625" style="5" customWidth="1"/>
    <col min="35" max="35" width="11.00390625" style="7" customWidth="1"/>
    <col min="36" max="36" width="9.8515625" style="6" customWidth="1"/>
    <col min="37" max="37" width="7.57421875" style="6" customWidth="1"/>
    <col min="38" max="38" width="8.140625" style="6" customWidth="1"/>
    <col min="39" max="39" width="10.140625" style="6" customWidth="1"/>
    <col min="40" max="41" width="9.7109375" style="6" customWidth="1"/>
    <col min="42" max="42" width="8.57421875" style="6" customWidth="1"/>
    <col min="43" max="43" width="8.8515625" style="6" customWidth="1"/>
    <col min="44" max="44" width="9.00390625" style="6" customWidth="1"/>
    <col min="45" max="45" width="9.57421875" style="6" customWidth="1"/>
    <col min="46" max="46" width="8.7109375" style="6" customWidth="1"/>
    <col min="47" max="47" width="11.57421875" style="6" hidden="1" customWidth="1"/>
    <col min="48" max="48" width="11.8515625" style="6" hidden="1" customWidth="1"/>
    <col min="49" max="49" width="8.00390625" style="6" customWidth="1"/>
    <col min="50" max="50" width="9.7109375" style="6" hidden="1" customWidth="1"/>
    <col min="51" max="51" width="8.57421875" style="6" customWidth="1"/>
    <col min="52" max="52" width="6.7109375" style="6" hidden="1" customWidth="1"/>
    <col min="53" max="53" width="10.8515625" style="6" customWidth="1"/>
    <col min="54" max="54" width="17.00390625" style="5" customWidth="1"/>
    <col min="55" max="16384" width="9.140625" style="5" customWidth="1"/>
  </cols>
  <sheetData>
    <row r="1" spans="1:53" ht="15" customHeight="1">
      <c r="A1" s="1105" t="s">
        <v>799</v>
      </c>
      <c r="B1" s="1105"/>
      <c r="AM1" s="1143" t="s">
        <v>800</v>
      </c>
      <c r="AN1" s="1143"/>
      <c r="AO1" s="1143"/>
      <c r="AP1" s="1143"/>
      <c r="AQ1" s="1143"/>
      <c r="AR1" s="1143"/>
      <c r="AS1" s="1143"/>
      <c r="AT1" s="1143"/>
      <c r="AU1" s="1143"/>
      <c r="AV1" s="1143"/>
      <c r="AW1" s="1143"/>
      <c r="AX1" s="1143"/>
      <c r="AY1" s="1143"/>
      <c r="AZ1" s="1143"/>
      <c r="BA1" s="1143"/>
    </row>
    <row r="2" spans="1:53" ht="17.25" customHeight="1">
      <c r="A2" s="1144" t="s">
        <v>801</v>
      </c>
      <c r="B2" s="1144"/>
      <c r="C2" s="1144"/>
      <c r="D2" s="1144"/>
      <c r="E2" s="1144"/>
      <c r="F2" s="1144"/>
      <c r="G2" s="1144"/>
      <c r="H2" s="1144"/>
      <c r="I2" s="1144"/>
      <c r="J2" s="1144"/>
      <c r="K2" s="1144"/>
      <c r="L2" s="1144"/>
      <c r="M2" s="1144"/>
      <c r="N2" s="1144"/>
      <c r="O2" s="1144"/>
      <c r="P2" s="1144"/>
      <c r="Q2" s="1144"/>
      <c r="R2" s="1144"/>
      <c r="S2" s="1144"/>
      <c r="T2" s="1144"/>
      <c r="U2" s="1144"/>
      <c r="V2" s="1144"/>
      <c r="W2" s="1144"/>
      <c r="X2" s="1144"/>
      <c r="Y2" s="1144"/>
      <c r="Z2" s="1144"/>
      <c r="AA2" s="1144"/>
      <c r="AB2" s="1144"/>
      <c r="AC2" s="1144"/>
      <c r="AD2" s="1144"/>
      <c r="AE2" s="1144"/>
      <c r="AF2" s="1144"/>
      <c r="AG2" s="1144"/>
      <c r="AH2" s="1144"/>
      <c r="AI2" s="1144"/>
      <c r="AJ2" s="1144"/>
      <c r="AK2" s="1144"/>
      <c r="AL2" s="1144"/>
      <c r="AM2" s="1144"/>
      <c r="AN2" s="1144"/>
      <c r="AO2" s="1144"/>
      <c r="AP2" s="1144"/>
      <c r="AQ2" s="1144"/>
      <c r="AR2" s="1144"/>
      <c r="AS2" s="1144"/>
      <c r="AT2" s="1144"/>
      <c r="AU2" s="1144"/>
      <c r="AV2" s="1144"/>
      <c r="AW2" s="1144"/>
      <c r="AX2" s="1144"/>
      <c r="AY2" s="1144"/>
      <c r="AZ2" s="1144"/>
      <c r="BA2" s="1144"/>
    </row>
    <row r="3" spans="1:53" ht="15.75" customHeight="1">
      <c r="A3" s="1145"/>
      <c r="B3" s="1145"/>
      <c r="C3" s="1145"/>
      <c r="D3" s="1145"/>
      <c r="E3" s="1145"/>
      <c r="F3" s="1145"/>
      <c r="G3" s="1145"/>
      <c r="H3" s="1145"/>
      <c r="I3" s="1145"/>
      <c r="J3" s="1145"/>
      <c r="K3" s="1145"/>
      <c r="L3" s="1145"/>
      <c r="M3" s="1145"/>
      <c r="N3" s="1145"/>
      <c r="O3" s="1145"/>
      <c r="P3" s="1145"/>
      <c r="Q3" s="1145"/>
      <c r="R3" s="1145"/>
      <c r="S3" s="1145"/>
      <c r="T3" s="1145"/>
      <c r="U3" s="1145"/>
      <c r="V3" s="1145"/>
      <c r="W3" s="1145"/>
      <c r="X3" s="1145"/>
      <c r="Y3" s="1145"/>
      <c r="Z3" s="1145"/>
      <c r="AA3" s="1145"/>
      <c r="AB3" s="1145"/>
      <c r="AC3" s="1145"/>
      <c r="AD3" s="1145"/>
      <c r="AE3" s="1145"/>
      <c r="AF3" s="1145"/>
      <c r="AG3" s="1145"/>
      <c r="AH3" s="1145"/>
      <c r="AI3" s="1145"/>
      <c r="AJ3" s="1145"/>
      <c r="AK3" s="1145"/>
      <c r="AL3" s="1145"/>
      <c r="AM3" s="1145"/>
      <c r="AN3" s="1145"/>
      <c r="AO3" s="1145"/>
      <c r="AP3" s="1145"/>
      <c r="AQ3" s="1145"/>
      <c r="AR3" s="1145"/>
      <c r="AS3" s="1145"/>
      <c r="AT3" s="1145"/>
      <c r="AU3" s="1145"/>
      <c r="AV3" s="1145"/>
      <c r="AW3" s="1145"/>
      <c r="AX3" s="1145"/>
      <c r="AY3" s="1145"/>
      <c r="AZ3" s="1145"/>
      <c r="BA3" s="1145"/>
    </row>
    <row r="4" spans="1:53" ht="16.5" customHeight="1">
      <c r="A4" s="8"/>
      <c r="B4" s="8"/>
      <c r="C4" s="9"/>
      <c r="D4" s="9"/>
      <c r="E4" s="9"/>
      <c r="F4" s="9"/>
      <c r="G4" s="9"/>
      <c r="H4" s="9"/>
      <c r="I4" s="9"/>
      <c r="J4" s="9"/>
      <c r="K4" s="9"/>
      <c r="L4" s="9"/>
      <c r="M4" s="9"/>
      <c r="N4" s="9"/>
      <c r="O4" s="9"/>
      <c r="P4" s="9"/>
      <c r="Q4" s="9"/>
      <c r="R4" s="9"/>
      <c r="S4" s="9"/>
      <c r="T4" s="9"/>
      <c r="U4" s="9"/>
      <c r="V4" s="9"/>
      <c r="W4" s="9"/>
      <c r="X4" s="9"/>
      <c r="Y4" s="9"/>
      <c r="Z4" s="9"/>
      <c r="AA4" s="10"/>
      <c r="AB4" s="8"/>
      <c r="AC4" s="8"/>
      <c r="AD4" s="8"/>
      <c r="AE4" s="8"/>
      <c r="AF4" s="8"/>
      <c r="AG4" s="8"/>
      <c r="AH4" s="8"/>
      <c r="AI4" s="11"/>
      <c r="AJ4" s="8"/>
      <c r="AK4" s="1146" t="s">
        <v>802</v>
      </c>
      <c r="AL4" s="1146"/>
      <c r="AM4" s="1146"/>
      <c r="AN4" s="1146"/>
      <c r="AO4" s="1146"/>
      <c r="AP4" s="1146"/>
      <c r="AQ4" s="1146"/>
      <c r="AR4" s="1146"/>
      <c r="AS4" s="1146"/>
      <c r="AT4" s="1146"/>
      <c r="AU4" s="1146"/>
      <c r="AV4" s="1146"/>
      <c r="AW4" s="1146"/>
      <c r="AX4" s="1146"/>
      <c r="AY4" s="1146"/>
      <c r="AZ4" s="1146"/>
      <c r="BA4" s="1146"/>
    </row>
    <row r="5" spans="1:53" ht="15" customHeight="1">
      <c r="A5" s="1140" t="s">
        <v>803</v>
      </c>
      <c r="B5" s="1140" t="s">
        <v>804</v>
      </c>
      <c r="C5" s="1147" t="s">
        <v>805</v>
      </c>
      <c r="D5" s="1148"/>
      <c r="E5" s="1148"/>
      <c r="F5" s="1148"/>
      <c r="G5" s="1148"/>
      <c r="H5" s="1148"/>
      <c r="I5" s="1148"/>
      <c r="J5" s="1148"/>
      <c r="K5" s="1148"/>
      <c r="L5" s="1148"/>
      <c r="M5" s="1148"/>
      <c r="N5" s="1148"/>
      <c r="O5" s="1148"/>
      <c r="P5" s="1148"/>
      <c r="Q5" s="1148"/>
      <c r="R5" s="1148"/>
      <c r="S5" s="1148"/>
      <c r="T5" s="1148"/>
      <c r="U5" s="1148"/>
      <c r="V5" s="1148"/>
      <c r="W5" s="1148"/>
      <c r="X5" s="1148"/>
      <c r="Y5" s="1148"/>
      <c r="Z5" s="1149"/>
      <c r="AA5" s="1137" t="s">
        <v>806</v>
      </c>
      <c r="AB5" s="1138"/>
      <c r="AC5" s="1138"/>
      <c r="AD5" s="1138"/>
      <c r="AE5" s="1138"/>
      <c r="AF5" s="1138"/>
      <c r="AG5" s="1138"/>
      <c r="AH5" s="1138"/>
      <c r="AI5" s="1138"/>
      <c r="AJ5" s="1138"/>
      <c r="AK5" s="1138"/>
      <c r="AL5" s="1138"/>
      <c r="AM5" s="1138"/>
      <c r="AN5" s="1138"/>
      <c r="AO5" s="1138"/>
      <c r="AP5" s="1138"/>
      <c r="AQ5" s="1138"/>
      <c r="AR5" s="1138"/>
      <c r="AS5" s="1138"/>
      <c r="AT5" s="1138"/>
      <c r="AU5" s="1138"/>
      <c r="AV5" s="1138"/>
      <c r="AW5" s="1138"/>
      <c r="AX5" s="1138"/>
      <c r="AY5" s="1138"/>
      <c r="AZ5" s="1138"/>
      <c r="BA5" s="1139"/>
    </row>
    <row r="6" spans="1:53" ht="15" customHeight="1">
      <c r="A6" s="1141"/>
      <c r="B6" s="1141"/>
      <c r="C6" s="1151" t="s">
        <v>807</v>
      </c>
      <c r="D6" s="1142" t="s">
        <v>808</v>
      </c>
      <c r="E6" s="1142"/>
      <c r="F6" s="1142"/>
      <c r="G6" s="1142"/>
      <c r="H6" s="1142"/>
      <c r="I6" s="1142"/>
      <c r="J6" s="1142"/>
      <c r="K6" s="1152" t="s">
        <v>809</v>
      </c>
      <c r="L6" s="1152"/>
      <c r="M6" s="1152"/>
      <c r="N6" s="1152"/>
      <c r="O6" s="1152"/>
      <c r="P6" s="1152"/>
      <c r="Q6" s="1152"/>
      <c r="R6" s="1152"/>
      <c r="S6" s="1152"/>
      <c r="T6" s="1152"/>
      <c r="U6" s="1152"/>
      <c r="V6" s="1152"/>
      <c r="W6" s="1152"/>
      <c r="X6" s="1141" t="s">
        <v>810</v>
      </c>
      <c r="Y6" s="1141" t="s">
        <v>811</v>
      </c>
      <c r="Z6" s="1141" t="s">
        <v>812</v>
      </c>
      <c r="AA6" s="1151" t="s">
        <v>807</v>
      </c>
      <c r="AB6" s="1142" t="s">
        <v>808</v>
      </c>
      <c r="AC6" s="1142"/>
      <c r="AD6" s="1142"/>
      <c r="AE6" s="1142"/>
      <c r="AF6" s="1142"/>
      <c r="AG6" s="1142"/>
      <c r="AH6" s="1142"/>
      <c r="AI6" s="1162" t="s">
        <v>809</v>
      </c>
      <c r="AJ6" s="1163"/>
      <c r="AK6" s="1163"/>
      <c r="AL6" s="1163"/>
      <c r="AM6" s="1163"/>
      <c r="AN6" s="1163"/>
      <c r="AO6" s="1163"/>
      <c r="AP6" s="1163"/>
      <c r="AQ6" s="1163"/>
      <c r="AR6" s="1163"/>
      <c r="AS6" s="1163"/>
      <c r="AT6" s="1163"/>
      <c r="AU6" s="1163"/>
      <c r="AV6" s="1163"/>
      <c r="AW6" s="1163"/>
      <c r="AX6" s="1163"/>
      <c r="AY6" s="1140" t="s">
        <v>810</v>
      </c>
      <c r="AZ6" s="1140" t="s">
        <v>811</v>
      </c>
      <c r="BA6" s="1140" t="s">
        <v>812</v>
      </c>
    </row>
    <row r="7" spans="1:53" ht="15" customHeight="1">
      <c r="A7" s="1141"/>
      <c r="B7" s="1141"/>
      <c r="C7" s="1150"/>
      <c r="D7" s="1150" t="s">
        <v>807</v>
      </c>
      <c r="E7" s="1137" t="s">
        <v>813</v>
      </c>
      <c r="F7" s="1138"/>
      <c r="G7" s="1138"/>
      <c r="H7" s="1138"/>
      <c r="I7" s="1139"/>
      <c r="J7" s="1150" t="s">
        <v>814</v>
      </c>
      <c r="K7" s="1150" t="s">
        <v>807</v>
      </c>
      <c r="L7" s="1150" t="s">
        <v>815</v>
      </c>
      <c r="M7" s="1150" t="s">
        <v>816</v>
      </c>
      <c r="N7" s="1140" t="s">
        <v>817</v>
      </c>
      <c r="O7" s="1150" t="s">
        <v>818</v>
      </c>
      <c r="P7" s="1150" t="s">
        <v>819</v>
      </c>
      <c r="Q7" s="1150" t="s">
        <v>820</v>
      </c>
      <c r="R7" s="1150" t="s">
        <v>821</v>
      </c>
      <c r="S7" s="1150" t="s">
        <v>822</v>
      </c>
      <c r="T7" s="1150" t="s">
        <v>823</v>
      </c>
      <c r="U7" s="1150" t="s">
        <v>939</v>
      </c>
      <c r="V7" s="1150" t="s">
        <v>940</v>
      </c>
      <c r="W7" s="1150" t="s">
        <v>941</v>
      </c>
      <c r="X7" s="1141"/>
      <c r="Y7" s="1141"/>
      <c r="Z7" s="1141" t="s">
        <v>812</v>
      </c>
      <c r="AA7" s="1165"/>
      <c r="AB7" s="1150" t="s">
        <v>807</v>
      </c>
      <c r="AC7" s="1137" t="s">
        <v>813</v>
      </c>
      <c r="AD7" s="1138"/>
      <c r="AE7" s="1138"/>
      <c r="AF7" s="1138"/>
      <c r="AG7" s="1139"/>
      <c r="AH7" s="1150" t="s">
        <v>1034</v>
      </c>
      <c r="AI7" s="1168" t="s">
        <v>807</v>
      </c>
      <c r="AJ7" s="1150" t="s">
        <v>815</v>
      </c>
      <c r="AK7" s="1140" t="s">
        <v>816</v>
      </c>
      <c r="AL7" s="1140" t="s">
        <v>817</v>
      </c>
      <c r="AM7" s="1140" t="s">
        <v>818</v>
      </c>
      <c r="AN7" s="1140" t="s">
        <v>819</v>
      </c>
      <c r="AO7" s="1140" t="s">
        <v>820</v>
      </c>
      <c r="AP7" s="1140" t="s">
        <v>821</v>
      </c>
      <c r="AQ7" s="1140" t="s">
        <v>822</v>
      </c>
      <c r="AR7" s="1140" t="s">
        <v>823</v>
      </c>
      <c r="AS7" s="1140" t="s">
        <v>939</v>
      </c>
      <c r="AT7" s="1140" t="s">
        <v>940</v>
      </c>
      <c r="AU7" s="1140" t="s">
        <v>942</v>
      </c>
      <c r="AV7" s="13" t="s">
        <v>943</v>
      </c>
      <c r="AW7" s="1140" t="s">
        <v>944</v>
      </c>
      <c r="AX7" s="12" t="s">
        <v>945</v>
      </c>
      <c r="AY7" s="1141"/>
      <c r="AZ7" s="1141"/>
      <c r="BA7" s="1141"/>
    </row>
    <row r="8" spans="1:53" ht="15" customHeight="1">
      <c r="A8" s="1141"/>
      <c r="B8" s="1141"/>
      <c r="C8" s="1150"/>
      <c r="D8" s="1150"/>
      <c r="E8" s="1153" t="s">
        <v>946</v>
      </c>
      <c r="F8" s="1154"/>
      <c r="G8" s="1155"/>
      <c r="H8" s="1137" t="s">
        <v>945</v>
      </c>
      <c r="I8" s="1139"/>
      <c r="J8" s="1150"/>
      <c r="K8" s="1150"/>
      <c r="L8" s="1150"/>
      <c r="M8" s="1150"/>
      <c r="N8" s="1141"/>
      <c r="O8" s="1150"/>
      <c r="P8" s="1150"/>
      <c r="Q8" s="1150"/>
      <c r="R8" s="1150"/>
      <c r="S8" s="1150"/>
      <c r="T8" s="1150"/>
      <c r="U8" s="1150"/>
      <c r="V8" s="1150"/>
      <c r="W8" s="1150"/>
      <c r="X8" s="1141"/>
      <c r="Y8" s="1141"/>
      <c r="Z8" s="1141"/>
      <c r="AA8" s="1165"/>
      <c r="AB8" s="1150"/>
      <c r="AC8" s="1137" t="s">
        <v>947</v>
      </c>
      <c r="AD8" s="1138"/>
      <c r="AE8" s="1139"/>
      <c r="AF8" s="1164" t="s">
        <v>945</v>
      </c>
      <c r="AG8" s="1164"/>
      <c r="AH8" s="1150"/>
      <c r="AI8" s="1168"/>
      <c r="AJ8" s="1150"/>
      <c r="AK8" s="1141"/>
      <c r="AL8" s="1141"/>
      <c r="AM8" s="1141"/>
      <c r="AN8" s="1141"/>
      <c r="AO8" s="1141"/>
      <c r="AP8" s="1141"/>
      <c r="AQ8" s="1141"/>
      <c r="AR8" s="1141"/>
      <c r="AS8" s="1141"/>
      <c r="AT8" s="1141"/>
      <c r="AU8" s="1141"/>
      <c r="AV8" s="13"/>
      <c r="AW8" s="1141"/>
      <c r="AX8" s="14"/>
      <c r="AY8" s="1141"/>
      <c r="AZ8" s="1141"/>
      <c r="BA8" s="1141"/>
    </row>
    <row r="9" spans="1:53" ht="18" customHeight="1">
      <c r="A9" s="1141"/>
      <c r="B9" s="1141"/>
      <c r="C9" s="1150"/>
      <c r="D9" s="1150"/>
      <c r="E9" s="1156"/>
      <c r="F9" s="1157"/>
      <c r="G9" s="1158"/>
      <c r="H9" s="1150" t="s">
        <v>948</v>
      </c>
      <c r="I9" s="1150" t="s">
        <v>949</v>
      </c>
      <c r="J9" s="1150"/>
      <c r="K9" s="1150"/>
      <c r="L9" s="1150"/>
      <c r="M9" s="1150"/>
      <c r="N9" s="1141"/>
      <c r="O9" s="1150"/>
      <c r="P9" s="1150"/>
      <c r="Q9" s="1150"/>
      <c r="R9" s="1150"/>
      <c r="S9" s="1150"/>
      <c r="T9" s="1150"/>
      <c r="U9" s="1150"/>
      <c r="V9" s="1150"/>
      <c r="W9" s="1150"/>
      <c r="X9" s="1141"/>
      <c r="Y9" s="1141"/>
      <c r="Z9" s="1141"/>
      <c r="AA9" s="1165"/>
      <c r="AB9" s="1150"/>
      <c r="AC9" s="1150" t="s">
        <v>807</v>
      </c>
      <c r="AD9" s="1150" t="s">
        <v>950</v>
      </c>
      <c r="AE9" s="1150" t="s">
        <v>951</v>
      </c>
      <c r="AF9" s="1150" t="s">
        <v>948</v>
      </c>
      <c r="AG9" s="1150" t="s">
        <v>949</v>
      </c>
      <c r="AH9" s="1150"/>
      <c r="AI9" s="1168"/>
      <c r="AJ9" s="1150"/>
      <c r="AK9" s="1141"/>
      <c r="AL9" s="1141"/>
      <c r="AM9" s="1141"/>
      <c r="AN9" s="1141"/>
      <c r="AO9" s="1141"/>
      <c r="AP9" s="1141"/>
      <c r="AQ9" s="1141"/>
      <c r="AR9" s="1141"/>
      <c r="AS9" s="1141"/>
      <c r="AT9" s="1141"/>
      <c r="AU9" s="1141"/>
      <c r="AV9" s="13"/>
      <c r="AW9" s="1141"/>
      <c r="AX9" s="16"/>
      <c r="AY9" s="1141"/>
      <c r="AZ9" s="1141"/>
      <c r="BA9" s="1141"/>
    </row>
    <row r="10" spans="1:53" ht="21" customHeight="1">
      <c r="A10" s="1141"/>
      <c r="B10" s="1141"/>
      <c r="C10" s="1150"/>
      <c r="D10" s="1150"/>
      <c r="E10" s="1156"/>
      <c r="F10" s="1157"/>
      <c r="G10" s="1158"/>
      <c r="H10" s="1150"/>
      <c r="I10" s="1150"/>
      <c r="J10" s="1150"/>
      <c r="K10" s="1150"/>
      <c r="L10" s="1150"/>
      <c r="M10" s="1150"/>
      <c r="N10" s="1141"/>
      <c r="O10" s="1150"/>
      <c r="P10" s="1150"/>
      <c r="Q10" s="1150"/>
      <c r="R10" s="1150"/>
      <c r="S10" s="1150"/>
      <c r="T10" s="1150"/>
      <c r="U10" s="1150"/>
      <c r="V10" s="1150"/>
      <c r="W10" s="1150"/>
      <c r="X10" s="1141"/>
      <c r="Y10" s="1141"/>
      <c r="Z10" s="1141"/>
      <c r="AA10" s="1165"/>
      <c r="AB10" s="1150"/>
      <c r="AC10" s="1150"/>
      <c r="AD10" s="1150"/>
      <c r="AE10" s="1150"/>
      <c r="AF10" s="1150"/>
      <c r="AG10" s="1150"/>
      <c r="AH10" s="1150"/>
      <c r="AI10" s="1168"/>
      <c r="AJ10" s="1150"/>
      <c r="AK10" s="1141"/>
      <c r="AL10" s="1141"/>
      <c r="AM10" s="1141"/>
      <c r="AN10" s="1141"/>
      <c r="AO10" s="1141"/>
      <c r="AP10" s="1141"/>
      <c r="AQ10" s="1141"/>
      <c r="AR10" s="1141"/>
      <c r="AS10" s="1141"/>
      <c r="AT10" s="1141"/>
      <c r="AU10" s="1141"/>
      <c r="AV10" s="15"/>
      <c r="AW10" s="1141"/>
      <c r="AX10" s="12"/>
      <c r="AY10" s="1141"/>
      <c r="AZ10" s="1141"/>
      <c r="BA10" s="1141"/>
    </row>
    <row r="11" spans="1:54" ht="27.75" customHeight="1">
      <c r="A11" s="1142"/>
      <c r="B11" s="1142"/>
      <c r="C11" s="1150"/>
      <c r="D11" s="1150"/>
      <c r="E11" s="1159"/>
      <c r="F11" s="1160"/>
      <c r="G11" s="1161"/>
      <c r="H11" s="1150"/>
      <c r="I11" s="1150"/>
      <c r="J11" s="1150"/>
      <c r="K11" s="1150"/>
      <c r="L11" s="1150">
        <f>SUM(L16:L50)</f>
        <v>69422</v>
      </c>
      <c r="M11" s="1150">
        <f>SUM(M16:M50)</f>
        <v>6985</v>
      </c>
      <c r="N11" s="1142"/>
      <c r="O11" s="1150">
        <f>SUM(O16:O50)</f>
        <v>372165</v>
      </c>
      <c r="P11" s="1150">
        <f>SUM(P16:P50)</f>
        <v>324109</v>
      </c>
      <c r="Q11" s="1150">
        <f>SUM(Q16:Q50)</f>
        <v>14298</v>
      </c>
      <c r="R11" s="1150">
        <f>SUM(R16:R50)</f>
        <v>37962</v>
      </c>
      <c r="S11" s="1150">
        <f>SUM(S16:S50)</f>
        <v>17348</v>
      </c>
      <c r="T11" s="1150"/>
      <c r="U11" s="1150">
        <f>SUM(U16:U50)</f>
        <v>236123</v>
      </c>
      <c r="V11" s="1150">
        <f>SUM(V16:V50)</f>
        <v>22280</v>
      </c>
      <c r="W11" s="1150">
        <f>SUM(W16:W50)</f>
        <v>0</v>
      </c>
      <c r="X11" s="1142"/>
      <c r="Y11" s="1142"/>
      <c r="Z11" s="1142">
        <f>SUM(Z16:Z50)</f>
        <v>45361</v>
      </c>
      <c r="AA11" s="1165"/>
      <c r="AB11" s="1150"/>
      <c r="AC11" s="1150"/>
      <c r="AD11" s="1150"/>
      <c r="AE11" s="1150"/>
      <c r="AF11" s="1150"/>
      <c r="AG11" s="1150"/>
      <c r="AH11" s="1150"/>
      <c r="AI11" s="1168"/>
      <c r="AJ11" s="1150">
        <f>SUM(AJ16:AJ50)</f>
        <v>81003.35</v>
      </c>
      <c r="AK11" s="1142"/>
      <c r="AL11" s="1142"/>
      <c r="AM11" s="1142">
        <f>SUM(AM16:AM50)</f>
        <v>411561.99</v>
      </c>
      <c r="AN11" s="1142">
        <f>SUM(AN16:AN50)</f>
        <v>657295.76</v>
      </c>
      <c r="AO11" s="1142">
        <f>SUM(AO16:AO50)</f>
        <v>12738.72</v>
      </c>
      <c r="AP11" s="1142">
        <f>SUM(AP16:AP50)</f>
        <v>42613.66</v>
      </c>
      <c r="AQ11" s="1142">
        <f>SUM(AQ16:AQ50)</f>
        <v>17716</v>
      </c>
      <c r="AR11" s="1142"/>
      <c r="AS11" s="1142"/>
      <c r="AT11" s="1142"/>
      <c r="AU11" s="1142"/>
      <c r="AV11" s="15">
        <f>SUM(AV16:AV50)</f>
        <v>0</v>
      </c>
      <c r="AW11" s="1142"/>
      <c r="AX11" s="17">
        <f>SUM(AX16:AX50)</f>
        <v>0</v>
      </c>
      <c r="AY11" s="1142"/>
      <c r="AZ11" s="1142"/>
      <c r="BA11" s="1142"/>
      <c r="BB11" s="18"/>
    </row>
    <row r="12" spans="1:54" ht="24" customHeight="1">
      <c r="A12" s="19"/>
      <c r="B12" s="20" t="s">
        <v>807</v>
      </c>
      <c r="C12" s="21">
        <f aca="true" t="shared" si="0" ref="C12:AH12">SUM(C13,C68,C80)</f>
        <v>1518505</v>
      </c>
      <c r="D12" s="21">
        <f t="shared" si="0"/>
        <v>167085</v>
      </c>
      <c r="E12" s="21">
        <f t="shared" si="0"/>
        <v>167085</v>
      </c>
      <c r="F12" s="21">
        <f t="shared" si="0"/>
        <v>5350</v>
      </c>
      <c r="G12" s="21">
        <f t="shared" si="0"/>
        <v>0</v>
      </c>
      <c r="H12" s="21">
        <f t="shared" si="0"/>
        <v>20334</v>
      </c>
      <c r="I12" s="21">
        <f t="shared" si="0"/>
        <v>6140</v>
      </c>
      <c r="J12" s="21">
        <f t="shared" si="0"/>
        <v>0</v>
      </c>
      <c r="K12" s="21">
        <f t="shared" si="0"/>
        <v>1257341</v>
      </c>
      <c r="L12" s="21">
        <f t="shared" si="0"/>
        <v>81632</v>
      </c>
      <c r="M12" s="21">
        <f t="shared" si="0"/>
        <v>7025</v>
      </c>
      <c r="N12" s="21">
        <f t="shared" si="0"/>
        <v>5650</v>
      </c>
      <c r="O12" s="21">
        <f t="shared" si="0"/>
        <v>382843</v>
      </c>
      <c r="P12" s="21">
        <f t="shared" si="0"/>
        <v>325609</v>
      </c>
      <c r="Q12" s="21">
        <f t="shared" si="0"/>
        <v>14298</v>
      </c>
      <c r="R12" s="21">
        <f t="shared" si="0"/>
        <v>37962</v>
      </c>
      <c r="S12" s="21">
        <f t="shared" si="0"/>
        <v>17348</v>
      </c>
      <c r="T12" s="21">
        <f t="shared" si="0"/>
        <v>44691</v>
      </c>
      <c r="U12" s="21">
        <f t="shared" si="0"/>
        <v>302003</v>
      </c>
      <c r="V12" s="21">
        <f t="shared" si="0"/>
        <v>38280</v>
      </c>
      <c r="W12" s="21">
        <f t="shared" si="0"/>
        <v>0</v>
      </c>
      <c r="X12" s="21">
        <f t="shared" si="0"/>
        <v>37191</v>
      </c>
      <c r="Y12" s="21">
        <f t="shared" si="0"/>
        <v>0</v>
      </c>
      <c r="Z12" s="21">
        <f t="shared" si="0"/>
        <v>56888</v>
      </c>
      <c r="AA12" s="72">
        <f t="shared" si="0"/>
        <v>2860699.2800000007</v>
      </c>
      <c r="AB12" s="72">
        <f t="shared" si="0"/>
        <v>380860.85</v>
      </c>
      <c r="AC12" s="72">
        <f t="shared" si="0"/>
        <v>293706.55</v>
      </c>
      <c r="AD12" s="72">
        <f t="shared" si="0"/>
        <v>251626.80999999997</v>
      </c>
      <c r="AE12" s="72">
        <f t="shared" si="0"/>
        <v>42079.74</v>
      </c>
      <c r="AF12" s="72">
        <f t="shared" si="0"/>
        <v>41830.75</v>
      </c>
      <c r="AG12" s="72">
        <f t="shared" si="0"/>
        <v>8363.619999999999</v>
      </c>
      <c r="AH12" s="72">
        <f t="shared" si="0"/>
        <v>87154.3</v>
      </c>
      <c r="AI12" s="72">
        <f aca="true" t="shared" si="1" ref="AI12:BA12">SUM(AI13,AI68,AI80)</f>
        <v>1696049.3600000003</v>
      </c>
      <c r="AJ12" s="72">
        <f t="shared" si="1"/>
        <v>96771.35</v>
      </c>
      <c r="AK12" s="72">
        <f t="shared" si="1"/>
        <v>6777.6</v>
      </c>
      <c r="AL12" s="72">
        <f t="shared" si="1"/>
        <v>5650</v>
      </c>
      <c r="AM12" s="72">
        <f t="shared" si="1"/>
        <v>424992.04</v>
      </c>
      <c r="AN12" s="72">
        <f t="shared" si="1"/>
        <v>658795.76</v>
      </c>
      <c r="AO12" s="72">
        <f t="shared" si="1"/>
        <v>12738.72</v>
      </c>
      <c r="AP12" s="72">
        <f t="shared" si="1"/>
        <v>42613.66</v>
      </c>
      <c r="AQ12" s="72">
        <f t="shared" si="1"/>
        <v>17716</v>
      </c>
      <c r="AR12" s="72">
        <f t="shared" si="1"/>
        <v>55002.86</v>
      </c>
      <c r="AS12" s="72">
        <f t="shared" si="1"/>
        <v>329376.98999999993</v>
      </c>
      <c r="AT12" s="72">
        <f t="shared" si="1"/>
        <v>42218.28</v>
      </c>
      <c r="AU12" s="72">
        <f t="shared" si="1"/>
        <v>0</v>
      </c>
      <c r="AV12" s="72">
        <f t="shared" si="1"/>
        <v>0</v>
      </c>
      <c r="AW12" s="72">
        <f t="shared" si="1"/>
        <v>3396.1000000000004</v>
      </c>
      <c r="AX12" s="72">
        <f t="shared" si="1"/>
        <v>0</v>
      </c>
      <c r="AY12" s="72">
        <f t="shared" si="1"/>
        <v>49004.96000000001</v>
      </c>
      <c r="AZ12" s="72">
        <f t="shared" si="1"/>
        <v>0</v>
      </c>
      <c r="BA12" s="72">
        <f t="shared" si="1"/>
        <v>734784.11</v>
      </c>
      <c r="BB12" s="22"/>
    </row>
    <row r="13" spans="1:54" ht="24" customHeight="1">
      <c r="A13" s="19" t="s">
        <v>952</v>
      </c>
      <c r="B13" s="19" t="s">
        <v>953</v>
      </c>
      <c r="C13" s="21">
        <f aca="true" t="shared" si="2" ref="C13:AH13">SUM(C14:C67)</f>
        <v>1509400</v>
      </c>
      <c r="D13" s="21">
        <f t="shared" si="2"/>
        <v>166685</v>
      </c>
      <c r="E13" s="21">
        <f t="shared" si="2"/>
        <v>166685</v>
      </c>
      <c r="F13" s="21">
        <f t="shared" si="2"/>
        <v>5350</v>
      </c>
      <c r="G13" s="21">
        <f t="shared" si="2"/>
        <v>0</v>
      </c>
      <c r="H13" s="21">
        <f t="shared" si="2"/>
        <v>20334</v>
      </c>
      <c r="I13" s="21">
        <f t="shared" si="2"/>
        <v>6140</v>
      </c>
      <c r="J13" s="21">
        <f t="shared" si="2"/>
        <v>0</v>
      </c>
      <c r="K13" s="21">
        <f t="shared" si="2"/>
        <v>1249211</v>
      </c>
      <c r="L13" s="21">
        <f t="shared" si="2"/>
        <v>81632</v>
      </c>
      <c r="M13" s="21">
        <f t="shared" si="2"/>
        <v>7005</v>
      </c>
      <c r="N13" s="21">
        <f t="shared" si="2"/>
        <v>5650</v>
      </c>
      <c r="O13" s="21">
        <f t="shared" si="2"/>
        <v>382843</v>
      </c>
      <c r="P13" s="21">
        <f t="shared" si="2"/>
        <v>325609</v>
      </c>
      <c r="Q13" s="21">
        <f t="shared" si="2"/>
        <v>14298</v>
      </c>
      <c r="R13" s="21">
        <f t="shared" si="2"/>
        <v>37962</v>
      </c>
      <c r="S13" s="21">
        <f t="shared" si="2"/>
        <v>17348</v>
      </c>
      <c r="T13" s="21">
        <f t="shared" si="2"/>
        <v>44691</v>
      </c>
      <c r="U13" s="21">
        <f t="shared" si="2"/>
        <v>293893</v>
      </c>
      <c r="V13" s="21">
        <f t="shared" si="2"/>
        <v>38280</v>
      </c>
      <c r="W13" s="21">
        <f t="shared" si="2"/>
        <v>0</v>
      </c>
      <c r="X13" s="21">
        <f t="shared" si="2"/>
        <v>37191</v>
      </c>
      <c r="Y13" s="21">
        <f t="shared" si="2"/>
        <v>0</v>
      </c>
      <c r="Z13" s="21">
        <f t="shared" si="2"/>
        <v>56313</v>
      </c>
      <c r="AA13" s="21">
        <f>SUM(AA14:AA67)</f>
        <v>2396168.9700000007</v>
      </c>
      <c r="AB13" s="72">
        <f t="shared" si="2"/>
        <v>275342.38</v>
      </c>
      <c r="AC13" s="72">
        <f t="shared" si="2"/>
        <v>188188.08</v>
      </c>
      <c r="AD13" s="72">
        <f t="shared" si="2"/>
        <v>147581.33999999997</v>
      </c>
      <c r="AE13" s="72">
        <f t="shared" si="2"/>
        <v>40606.74</v>
      </c>
      <c r="AF13" s="72">
        <f t="shared" si="2"/>
        <v>24157.99</v>
      </c>
      <c r="AG13" s="72">
        <f t="shared" si="2"/>
        <v>6110.83</v>
      </c>
      <c r="AH13" s="72">
        <f t="shared" si="2"/>
        <v>87154.3</v>
      </c>
      <c r="AI13" s="72">
        <f aca="true" t="shared" si="3" ref="AI13:BA13">SUM(AI14:AI67)</f>
        <v>1686149.8600000003</v>
      </c>
      <c r="AJ13" s="72">
        <f t="shared" si="3"/>
        <v>96771.35</v>
      </c>
      <c r="AK13" s="72">
        <f t="shared" si="3"/>
        <v>6757.6</v>
      </c>
      <c r="AL13" s="72">
        <f t="shared" si="3"/>
        <v>5650</v>
      </c>
      <c r="AM13" s="72">
        <f t="shared" si="3"/>
        <v>424992.04</v>
      </c>
      <c r="AN13" s="72">
        <f t="shared" si="3"/>
        <v>658795.76</v>
      </c>
      <c r="AO13" s="72">
        <f t="shared" si="3"/>
        <v>12738.72</v>
      </c>
      <c r="AP13" s="72">
        <f t="shared" si="3"/>
        <v>42613.66</v>
      </c>
      <c r="AQ13" s="72">
        <f t="shared" si="3"/>
        <v>17716</v>
      </c>
      <c r="AR13" s="72">
        <f t="shared" si="3"/>
        <v>55002.86</v>
      </c>
      <c r="AS13" s="72">
        <f t="shared" si="3"/>
        <v>319497.48999999993</v>
      </c>
      <c r="AT13" s="72">
        <f t="shared" si="3"/>
        <v>42218.28</v>
      </c>
      <c r="AU13" s="72">
        <f t="shared" si="3"/>
        <v>0</v>
      </c>
      <c r="AV13" s="72">
        <f t="shared" si="3"/>
        <v>0</v>
      </c>
      <c r="AW13" s="72">
        <f t="shared" si="3"/>
        <v>3396.1000000000004</v>
      </c>
      <c r="AX13" s="72">
        <f t="shared" si="3"/>
        <v>0</v>
      </c>
      <c r="AY13" s="72">
        <f t="shared" si="3"/>
        <v>49004.96000000001</v>
      </c>
      <c r="AZ13" s="72">
        <f t="shared" si="3"/>
        <v>0</v>
      </c>
      <c r="BA13" s="72">
        <f t="shared" si="3"/>
        <v>385671.76999999996</v>
      </c>
      <c r="BB13" s="23"/>
    </row>
    <row r="14" spans="1:54" s="31" customFormat="1" ht="24" customHeight="1">
      <c r="A14" s="24">
        <v>1</v>
      </c>
      <c r="B14" s="24" t="s">
        <v>954</v>
      </c>
      <c r="C14" s="25">
        <f aca="true" t="shared" si="4" ref="C14:C45">D14+K14+X14+Y14+Z14</f>
        <v>74020</v>
      </c>
      <c r="D14" s="26">
        <f>SUM(E14,J14)</f>
        <v>9070</v>
      </c>
      <c r="E14" s="27">
        <v>9070</v>
      </c>
      <c r="F14" s="27"/>
      <c r="G14" s="27"/>
      <c r="H14" s="27"/>
      <c r="I14" s="27"/>
      <c r="J14" s="27"/>
      <c r="K14" s="25">
        <f aca="true" t="shared" si="5" ref="K14:K45">SUM(L14:W14)</f>
        <v>64920</v>
      </c>
      <c r="L14" s="25"/>
      <c r="M14" s="25"/>
      <c r="N14" s="25">
        <v>5650</v>
      </c>
      <c r="O14" s="25"/>
      <c r="P14" s="25">
        <v>1500</v>
      </c>
      <c r="Q14" s="25"/>
      <c r="R14" s="25"/>
      <c r="S14" s="25"/>
      <c r="T14" s="25"/>
      <c r="U14" s="25">
        <v>57770</v>
      </c>
      <c r="V14" s="25"/>
      <c r="W14" s="28"/>
      <c r="X14" s="29">
        <v>30</v>
      </c>
      <c r="Y14" s="29"/>
      <c r="Z14" s="29"/>
      <c r="AA14" s="62">
        <f aca="true" t="shared" si="6" ref="AA14:AA45">SUM(AB14,AI14,AY14:BA14)</f>
        <v>88530.97</v>
      </c>
      <c r="AB14" s="63">
        <f>SUM(AC14,AH14)</f>
        <v>8042.89</v>
      </c>
      <c r="AC14" s="63">
        <f>SUM(AD14:AE14)</f>
        <v>8042.89</v>
      </c>
      <c r="AD14" s="63">
        <f>3000+900+2800</f>
        <v>6700</v>
      </c>
      <c r="AE14" s="63">
        <v>1342.89</v>
      </c>
      <c r="AF14" s="63"/>
      <c r="AG14" s="63"/>
      <c r="AH14" s="63"/>
      <c r="AI14" s="65">
        <f aca="true" t="shared" si="7" ref="AI14:AI45">SUM(AJ14:AW14)</f>
        <v>78358.08</v>
      </c>
      <c r="AJ14" s="63"/>
      <c r="AK14" s="63"/>
      <c r="AL14" s="65">
        <v>5650</v>
      </c>
      <c r="AM14" s="63"/>
      <c r="AN14" s="63">
        <v>1500</v>
      </c>
      <c r="AO14" s="63"/>
      <c r="AP14" s="63"/>
      <c r="AQ14" s="63"/>
      <c r="AR14" s="63"/>
      <c r="AS14" s="63">
        <f>68123+3085.08</f>
        <v>71208.08</v>
      </c>
      <c r="AT14" s="63"/>
      <c r="AU14" s="63"/>
      <c r="AV14" s="63"/>
      <c r="AW14" s="63"/>
      <c r="AX14" s="66"/>
      <c r="AY14" s="65">
        <v>30</v>
      </c>
      <c r="AZ14" s="65"/>
      <c r="BA14" s="65">
        <v>2100</v>
      </c>
      <c r="BB14" s="30"/>
    </row>
    <row r="15" spans="1:54" s="31" customFormat="1" ht="24" customHeight="1">
      <c r="A15" s="24">
        <v>2</v>
      </c>
      <c r="B15" s="24" t="s">
        <v>955</v>
      </c>
      <c r="C15" s="25">
        <f t="shared" si="4"/>
        <v>14578</v>
      </c>
      <c r="D15" s="26">
        <v>5900</v>
      </c>
      <c r="E15" s="26">
        <v>5900</v>
      </c>
      <c r="F15" s="27"/>
      <c r="G15" s="27"/>
      <c r="H15" s="26"/>
      <c r="I15" s="27"/>
      <c r="J15" s="27"/>
      <c r="K15" s="25">
        <f t="shared" si="5"/>
        <v>8678</v>
      </c>
      <c r="L15" s="25"/>
      <c r="M15" s="25"/>
      <c r="N15" s="25"/>
      <c r="O15" s="25">
        <v>8678</v>
      </c>
      <c r="P15" s="25"/>
      <c r="Q15" s="25"/>
      <c r="R15" s="25"/>
      <c r="S15" s="25"/>
      <c r="T15" s="25"/>
      <c r="U15" s="25"/>
      <c r="V15" s="25"/>
      <c r="W15" s="28"/>
      <c r="X15" s="29"/>
      <c r="Y15" s="29"/>
      <c r="Z15" s="29"/>
      <c r="AA15" s="62">
        <f t="shared" si="6"/>
        <v>18078.08</v>
      </c>
      <c r="AB15" s="63">
        <f>SUM(AC15,AH15)</f>
        <v>6587.89</v>
      </c>
      <c r="AC15" s="63">
        <f>SUM(AD15:AE15)</f>
        <v>6587.89</v>
      </c>
      <c r="AD15" s="63">
        <v>6587.89</v>
      </c>
      <c r="AE15" s="63"/>
      <c r="AF15" s="63">
        <v>6587.89</v>
      </c>
      <c r="AG15" s="63"/>
      <c r="AH15" s="63"/>
      <c r="AI15" s="65">
        <f t="shared" si="7"/>
        <v>11490.19</v>
      </c>
      <c r="AJ15" s="65"/>
      <c r="AK15" s="65"/>
      <c r="AL15" s="65"/>
      <c r="AM15" s="65">
        <f>9715.66+1774.53</f>
        <v>11490.19</v>
      </c>
      <c r="AN15" s="65"/>
      <c r="AO15" s="65"/>
      <c r="AP15" s="65"/>
      <c r="AQ15" s="65"/>
      <c r="AR15" s="65"/>
      <c r="AS15" s="65"/>
      <c r="AT15" s="65"/>
      <c r="AU15" s="65"/>
      <c r="AV15" s="65"/>
      <c r="AW15" s="65"/>
      <c r="AX15" s="65">
        <v>0</v>
      </c>
      <c r="AY15" s="65"/>
      <c r="AZ15" s="65"/>
      <c r="BA15" s="65"/>
      <c r="BB15" s="32"/>
    </row>
    <row r="16" spans="1:54" s="31" customFormat="1" ht="24" customHeight="1">
      <c r="A16" s="24">
        <v>3</v>
      </c>
      <c r="B16" s="33" t="s">
        <v>956</v>
      </c>
      <c r="C16" s="26">
        <f t="shared" si="4"/>
        <v>7831</v>
      </c>
      <c r="D16" s="26">
        <f aca="true" t="shared" si="8" ref="D16:D47">SUM(E16,J16)</f>
        <v>0</v>
      </c>
      <c r="E16" s="26"/>
      <c r="F16" s="26"/>
      <c r="G16" s="26"/>
      <c r="H16" s="26"/>
      <c r="I16" s="26"/>
      <c r="J16" s="26"/>
      <c r="K16" s="26">
        <f t="shared" si="5"/>
        <v>7831</v>
      </c>
      <c r="L16" s="26"/>
      <c r="M16" s="26"/>
      <c r="N16" s="26"/>
      <c r="O16" s="26"/>
      <c r="P16" s="26"/>
      <c r="Q16" s="26"/>
      <c r="R16" s="26"/>
      <c r="S16" s="26"/>
      <c r="T16" s="26"/>
      <c r="U16" s="34">
        <v>7831</v>
      </c>
      <c r="V16" s="26"/>
      <c r="W16" s="35"/>
      <c r="X16" s="36"/>
      <c r="Y16" s="36"/>
      <c r="Z16" s="36"/>
      <c r="AA16" s="62">
        <f t="shared" si="6"/>
        <v>19208.61</v>
      </c>
      <c r="AB16" s="63">
        <f>SUM(AC16,AH16)</f>
        <v>1111.31</v>
      </c>
      <c r="AC16" s="63">
        <f>SUM(AD16:AE16)</f>
        <v>1111.31</v>
      </c>
      <c r="AD16" s="63">
        <v>1111.31</v>
      </c>
      <c r="AE16" s="65"/>
      <c r="AF16" s="65"/>
      <c r="AG16" s="65"/>
      <c r="AH16" s="65"/>
      <c r="AI16" s="65">
        <f t="shared" si="7"/>
        <v>7919.21</v>
      </c>
      <c r="AJ16" s="65">
        <v>173.25</v>
      </c>
      <c r="AK16" s="65"/>
      <c r="AL16" s="65"/>
      <c r="AM16" s="65"/>
      <c r="AN16" s="65"/>
      <c r="AO16" s="65"/>
      <c r="AP16" s="65"/>
      <c r="AQ16" s="65"/>
      <c r="AR16" s="65"/>
      <c r="AS16" s="65">
        <v>7745.96</v>
      </c>
      <c r="AT16" s="65"/>
      <c r="AU16" s="65">
        <v>0</v>
      </c>
      <c r="AV16" s="65">
        <v>0</v>
      </c>
      <c r="AW16" s="65"/>
      <c r="AX16" s="65">
        <v>0</v>
      </c>
      <c r="AY16" s="65"/>
      <c r="AZ16" s="65"/>
      <c r="BA16" s="65">
        <f>10168.57+9.52</f>
        <v>10178.09</v>
      </c>
      <c r="BB16" s="30"/>
    </row>
    <row r="17" spans="1:54" s="31" customFormat="1" ht="24" customHeight="1">
      <c r="A17" s="24">
        <v>4</v>
      </c>
      <c r="B17" s="33" t="s">
        <v>957</v>
      </c>
      <c r="C17" s="26">
        <f t="shared" si="4"/>
        <v>2020</v>
      </c>
      <c r="D17" s="26">
        <f t="shared" si="8"/>
        <v>0</v>
      </c>
      <c r="E17" s="26"/>
      <c r="F17" s="26"/>
      <c r="G17" s="26"/>
      <c r="H17" s="26"/>
      <c r="I17" s="26"/>
      <c r="J17" s="26"/>
      <c r="K17" s="26">
        <f t="shared" si="5"/>
        <v>1980</v>
      </c>
      <c r="L17" s="26"/>
      <c r="M17" s="26">
        <v>20</v>
      </c>
      <c r="N17" s="26"/>
      <c r="O17" s="26"/>
      <c r="P17" s="26"/>
      <c r="Q17" s="26"/>
      <c r="R17" s="26"/>
      <c r="S17" s="26"/>
      <c r="T17" s="26"/>
      <c r="U17" s="26">
        <v>1960</v>
      </c>
      <c r="V17" s="26"/>
      <c r="W17" s="35"/>
      <c r="X17" s="36">
        <v>40</v>
      </c>
      <c r="Y17" s="36"/>
      <c r="Z17" s="36"/>
      <c r="AA17" s="62">
        <f t="shared" si="6"/>
        <v>2188</v>
      </c>
      <c r="AB17" s="63"/>
      <c r="AC17" s="63"/>
      <c r="AD17" s="63"/>
      <c r="AE17" s="65"/>
      <c r="AF17" s="65"/>
      <c r="AG17" s="65"/>
      <c r="AH17" s="65"/>
      <c r="AI17" s="65">
        <f t="shared" si="7"/>
        <v>2148</v>
      </c>
      <c r="AJ17" s="65"/>
      <c r="AK17" s="65">
        <v>20</v>
      </c>
      <c r="AL17" s="65"/>
      <c r="AM17" s="65"/>
      <c r="AN17" s="65"/>
      <c r="AO17" s="65"/>
      <c r="AP17" s="65"/>
      <c r="AQ17" s="65"/>
      <c r="AR17" s="65"/>
      <c r="AS17" s="65">
        <v>2128</v>
      </c>
      <c r="AT17" s="65"/>
      <c r="AU17" s="65"/>
      <c r="AV17" s="65"/>
      <c r="AW17" s="65"/>
      <c r="AX17" s="65">
        <v>0</v>
      </c>
      <c r="AY17" s="65">
        <v>40</v>
      </c>
      <c r="AZ17" s="65"/>
      <c r="BA17" s="65"/>
      <c r="BB17" s="32"/>
    </row>
    <row r="18" spans="1:54" s="31" customFormat="1" ht="24" customHeight="1">
      <c r="A18" s="24">
        <v>5</v>
      </c>
      <c r="B18" s="33" t="s">
        <v>958</v>
      </c>
      <c r="C18" s="26">
        <f t="shared" si="4"/>
        <v>6039</v>
      </c>
      <c r="D18" s="26">
        <f t="shared" si="8"/>
        <v>0</v>
      </c>
      <c r="E18" s="26"/>
      <c r="F18" s="26"/>
      <c r="G18" s="26"/>
      <c r="H18" s="26"/>
      <c r="I18" s="26"/>
      <c r="J18" s="26"/>
      <c r="K18" s="26">
        <f t="shared" si="5"/>
        <v>5989</v>
      </c>
      <c r="L18" s="26"/>
      <c r="M18" s="26">
        <v>20</v>
      </c>
      <c r="N18" s="26"/>
      <c r="O18" s="26"/>
      <c r="P18" s="26"/>
      <c r="Q18" s="26"/>
      <c r="R18" s="26"/>
      <c r="S18" s="26"/>
      <c r="T18" s="26"/>
      <c r="U18" s="26">
        <v>5969</v>
      </c>
      <c r="V18" s="26"/>
      <c r="W18" s="35"/>
      <c r="X18" s="34">
        <v>50</v>
      </c>
      <c r="Y18" s="36"/>
      <c r="Z18" s="36"/>
      <c r="AA18" s="62">
        <f t="shared" si="6"/>
        <v>6212.18</v>
      </c>
      <c r="AB18" s="63"/>
      <c r="AC18" s="63"/>
      <c r="AD18" s="64"/>
      <c r="AE18" s="65"/>
      <c r="AF18" s="65"/>
      <c r="AG18" s="65"/>
      <c r="AH18" s="65"/>
      <c r="AI18" s="65">
        <f t="shared" si="7"/>
        <v>6162.18</v>
      </c>
      <c r="AJ18" s="65"/>
      <c r="AK18" s="65">
        <v>20</v>
      </c>
      <c r="AL18" s="65"/>
      <c r="AM18" s="65"/>
      <c r="AN18" s="65"/>
      <c r="AO18" s="65"/>
      <c r="AP18" s="65"/>
      <c r="AQ18" s="65"/>
      <c r="AR18" s="65"/>
      <c r="AS18" s="65">
        <f>4101+2041.18</f>
        <v>6142.18</v>
      </c>
      <c r="AT18" s="65"/>
      <c r="AU18" s="65">
        <v>0</v>
      </c>
      <c r="AV18" s="65">
        <v>0</v>
      </c>
      <c r="AW18" s="65"/>
      <c r="AX18" s="65">
        <v>0</v>
      </c>
      <c r="AY18" s="65">
        <v>50</v>
      </c>
      <c r="AZ18" s="65"/>
      <c r="BA18" s="65"/>
      <c r="BB18" s="32"/>
    </row>
    <row r="19" spans="1:54" s="31" customFormat="1" ht="24" customHeight="1">
      <c r="A19" s="24">
        <v>6</v>
      </c>
      <c r="B19" s="33" t="s">
        <v>959</v>
      </c>
      <c r="C19" s="26">
        <f t="shared" si="4"/>
        <v>4542</v>
      </c>
      <c r="D19" s="26">
        <f t="shared" si="8"/>
        <v>0</v>
      </c>
      <c r="E19" s="26"/>
      <c r="F19" s="26"/>
      <c r="G19" s="26"/>
      <c r="H19" s="26"/>
      <c r="I19" s="26"/>
      <c r="J19" s="26"/>
      <c r="K19" s="26">
        <f t="shared" si="5"/>
        <v>4492</v>
      </c>
      <c r="L19" s="26">
        <v>676</v>
      </c>
      <c r="M19" s="26">
        <v>20</v>
      </c>
      <c r="N19" s="26"/>
      <c r="O19" s="26"/>
      <c r="P19" s="26"/>
      <c r="Q19" s="26"/>
      <c r="R19" s="26"/>
      <c r="S19" s="26"/>
      <c r="T19" s="26"/>
      <c r="U19" s="26">
        <v>3796</v>
      </c>
      <c r="V19" s="26"/>
      <c r="W19" s="35"/>
      <c r="X19" s="36">
        <v>50</v>
      </c>
      <c r="Y19" s="36"/>
      <c r="Z19" s="36"/>
      <c r="AA19" s="62">
        <f t="shared" si="6"/>
        <v>5918.590000000001</v>
      </c>
      <c r="AB19" s="63"/>
      <c r="AC19" s="63"/>
      <c r="AD19" s="63"/>
      <c r="AE19" s="65"/>
      <c r="AF19" s="65"/>
      <c r="AG19" s="65"/>
      <c r="AH19" s="65"/>
      <c r="AI19" s="65">
        <f t="shared" si="7"/>
        <v>5873.070000000001</v>
      </c>
      <c r="AJ19" s="65">
        <v>1675.26</v>
      </c>
      <c r="AK19" s="65">
        <v>20</v>
      </c>
      <c r="AL19" s="65"/>
      <c r="AM19" s="65"/>
      <c r="AN19" s="65"/>
      <c r="AO19" s="65"/>
      <c r="AP19" s="65"/>
      <c r="AQ19" s="65"/>
      <c r="AR19" s="65"/>
      <c r="AS19" s="65">
        <v>4177.81</v>
      </c>
      <c r="AT19" s="65"/>
      <c r="AU19" s="65">
        <v>0</v>
      </c>
      <c r="AV19" s="65">
        <v>0</v>
      </c>
      <c r="AW19" s="65"/>
      <c r="AX19" s="65">
        <v>0</v>
      </c>
      <c r="AY19" s="65">
        <f>45.52</f>
        <v>45.52</v>
      </c>
      <c r="AZ19" s="65"/>
      <c r="BA19" s="65"/>
      <c r="BB19" s="32"/>
    </row>
    <row r="20" spans="1:54" s="31" customFormat="1" ht="24" customHeight="1">
      <c r="A20" s="24">
        <v>7</v>
      </c>
      <c r="B20" s="33" t="s">
        <v>960</v>
      </c>
      <c r="C20" s="26">
        <f t="shared" si="4"/>
        <v>3959</v>
      </c>
      <c r="D20" s="26">
        <f t="shared" si="8"/>
        <v>0</v>
      </c>
      <c r="E20" s="26"/>
      <c r="F20" s="26"/>
      <c r="G20" s="26"/>
      <c r="H20" s="26"/>
      <c r="I20" s="26"/>
      <c r="J20" s="26"/>
      <c r="K20" s="26">
        <f t="shared" si="5"/>
        <v>3765</v>
      </c>
      <c r="L20" s="26"/>
      <c r="M20" s="26">
        <v>20</v>
      </c>
      <c r="N20" s="26"/>
      <c r="O20" s="26"/>
      <c r="P20" s="26"/>
      <c r="Q20" s="26"/>
      <c r="R20" s="26"/>
      <c r="S20" s="26"/>
      <c r="T20" s="26"/>
      <c r="U20" s="26">
        <v>3745</v>
      </c>
      <c r="V20" s="26"/>
      <c r="W20" s="35"/>
      <c r="X20" s="36">
        <v>50</v>
      </c>
      <c r="Y20" s="36"/>
      <c r="Z20" s="647">
        <v>144</v>
      </c>
      <c r="AA20" s="62">
        <f t="shared" si="6"/>
        <v>4129.969999999999</v>
      </c>
      <c r="AB20" s="63"/>
      <c r="AC20" s="63"/>
      <c r="AD20" s="63"/>
      <c r="AE20" s="65"/>
      <c r="AF20" s="65"/>
      <c r="AG20" s="65"/>
      <c r="AH20" s="65"/>
      <c r="AI20" s="65">
        <f t="shared" si="7"/>
        <v>3935.97</v>
      </c>
      <c r="AJ20" s="65"/>
      <c r="AK20" s="65">
        <v>20</v>
      </c>
      <c r="AL20" s="65"/>
      <c r="AM20" s="65"/>
      <c r="AN20" s="65"/>
      <c r="AO20" s="65"/>
      <c r="AP20" s="65"/>
      <c r="AQ20" s="65"/>
      <c r="AR20" s="65"/>
      <c r="AS20" s="65">
        <v>3915.97</v>
      </c>
      <c r="AT20" s="65"/>
      <c r="AU20" s="65">
        <v>0</v>
      </c>
      <c r="AV20" s="65">
        <v>0</v>
      </c>
      <c r="AW20" s="65"/>
      <c r="AX20" s="65">
        <v>0</v>
      </c>
      <c r="AY20" s="65">
        <v>50</v>
      </c>
      <c r="AZ20" s="65"/>
      <c r="BA20" s="65">
        <v>144</v>
      </c>
      <c r="BB20" s="32"/>
    </row>
    <row r="21" spans="1:54" s="31" customFormat="1" ht="24" customHeight="1">
      <c r="A21" s="24">
        <v>8</v>
      </c>
      <c r="B21" s="33" t="s">
        <v>961</v>
      </c>
      <c r="C21" s="26">
        <f t="shared" si="4"/>
        <v>9757</v>
      </c>
      <c r="D21" s="26">
        <f t="shared" si="8"/>
        <v>0</v>
      </c>
      <c r="E21" s="26"/>
      <c r="F21" s="26"/>
      <c r="G21" s="26"/>
      <c r="H21" s="26"/>
      <c r="I21" s="26"/>
      <c r="J21" s="26"/>
      <c r="K21" s="26">
        <f t="shared" si="5"/>
        <v>9687</v>
      </c>
      <c r="L21" s="26">
        <v>3713</v>
      </c>
      <c r="M21" s="26"/>
      <c r="N21" s="26"/>
      <c r="O21" s="26"/>
      <c r="P21" s="26"/>
      <c r="Q21" s="26"/>
      <c r="R21" s="26"/>
      <c r="S21" s="26"/>
      <c r="T21" s="26"/>
      <c r="U21" s="26">
        <v>5974</v>
      </c>
      <c r="V21" s="26"/>
      <c r="W21" s="35"/>
      <c r="X21" s="36">
        <v>70</v>
      </c>
      <c r="Y21" s="36"/>
      <c r="Z21" s="36"/>
      <c r="AA21" s="62">
        <f t="shared" si="6"/>
        <v>11041.55</v>
      </c>
      <c r="AB21" s="63">
        <f aca="true" t="shared" si="9" ref="AB21:AB26">SUM(AC21,AH21)</f>
        <v>30.32</v>
      </c>
      <c r="AC21" s="63">
        <f aca="true" t="shared" si="10" ref="AC21:AC26">SUM(AD21:AE21)</f>
        <v>30.32</v>
      </c>
      <c r="AD21" s="63">
        <v>30.32</v>
      </c>
      <c r="AE21" s="65"/>
      <c r="AF21" s="65"/>
      <c r="AG21" s="65"/>
      <c r="AH21" s="65"/>
      <c r="AI21" s="65">
        <f t="shared" si="7"/>
        <v>10579.42</v>
      </c>
      <c r="AJ21" s="65">
        <v>3748</v>
      </c>
      <c r="AK21" s="65"/>
      <c r="AL21" s="65"/>
      <c r="AM21" s="65"/>
      <c r="AN21" s="65"/>
      <c r="AO21" s="65"/>
      <c r="AP21" s="65"/>
      <c r="AQ21" s="65"/>
      <c r="AR21" s="65"/>
      <c r="AS21" s="65">
        <v>6831.42</v>
      </c>
      <c r="AT21" s="65"/>
      <c r="AU21" s="65">
        <v>0</v>
      </c>
      <c r="AV21" s="65">
        <v>0</v>
      </c>
      <c r="AW21" s="65"/>
      <c r="AX21" s="65">
        <v>0</v>
      </c>
      <c r="AY21" s="65">
        <v>70</v>
      </c>
      <c r="AZ21" s="65"/>
      <c r="BA21" s="65">
        <v>361.81</v>
      </c>
      <c r="BB21" s="32"/>
    </row>
    <row r="22" spans="1:54" s="31" customFormat="1" ht="24" customHeight="1">
      <c r="A22" s="24">
        <v>9</v>
      </c>
      <c r="B22" s="33" t="s">
        <v>962</v>
      </c>
      <c r="C22" s="26">
        <f t="shared" si="4"/>
        <v>31222</v>
      </c>
      <c r="D22" s="26">
        <f t="shared" si="8"/>
        <v>7667</v>
      </c>
      <c r="E22" s="26">
        <v>7667</v>
      </c>
      <c r="F22" s="26"/>
      <c r="G22" s="26"/>
      <c r="H22" s="26"/>
      <c r="I22" s="26"/>
      <c r="J22" s="26"/>
      <c r="K22" s="26">
        <f t="shared" si="5"/>
        <v>23555</v>
      </c>
      <c r="L22" s="26">
        <v>2085</v>
      </c>
      <c r="M22" s="26"/>
      <c r="N22" s="26"/>
      <c r="O22" s="26"/>
      <c r="P22" s="26"/>
      <c r="Q22" s="26"/>
      <c r="R22" s="26"/>
      <c r="S22" s="26"/>
      <c r="T22" s="26"/>
      <c r="U22" s="26">
        <v>21470</v>
      </c>
      <c r="V22" s="26"/>
      <c r="W22" s="35"/>
      <c r="X22" s="36"/>
      <c r="Y22" s="36"/>
      <c r="Z22" s="36"/>
      <c r="AA22" s="62">
        <f t="shared" si="6"/>
        <v>32230.56</v>
      </c>
      <c r="AB22" s="63">
        <f t="shared" si="9"/>
        <v>7697.61</v>
      </c>
      <c r="AC22" s="63">
        <f t="shared" si="10"/>
        <v>7697.61</v>
      </c>
      <c r="AD22" s="63">
        <v>7697.61</v>
      </c>
      <c r="AE22" s="65"/>
      <c r="AF22" s="65"/>
      <c r="AG22" s="65"/>
      <c r="AH22" s="65"/>
      <c r="AI22" s="65">
        <f t="shared" si="7"/>
        <v>24532.95</v>
      </c>
      <c r="AJ22" s="65">
        <f>1971.45</f>
        <v>1971.45</v>
      </c>
      <c r="AK22" s="65"/>
      <c r="AL22" s="65"/>
      <c r="AM22" s="65"/>
      <c r="AN22" s="65"/>
      <c r="AO22" s="65"/>
      <c r="AP22" s="65"/>
      <c r="AQ22" s="65"/>
      <c r="AR22" s="65"/>
      <c r="AS22" s="65">
        <f>19963+1184.58+1413.92</f>
        <v>22561.5</v>
      </c>
      <c r="AT22" s="65"/>
      <c r="AU22" s="65">
        <v>0</v>
      </c>
      <c r="AV22" s="65">
        <v>0</v>
      </c>
      <c r="AW22" s="65"/>
      <c r="AX22" s="65">
        <v>0</v>
      </c>
      <c r="AY22" s="65"/>
      <c r="AZ22" s="65"/>
      <c r="BA22" s="67"/>
      <c r="BB22" s="30"/>
    </row>
    <row r="23" spans="1:54" s="31" customFormat="1" ht="24" customHeight="1">
      <c r="A23" s="24">
        <v>10</v>
      </c>
      <c r="B23" s="33" t="s">
        <v>963</v>
      </c>
      <c r="C23" s="26">
        <f t="shared" si="4"/>
        <v>21714</v>
      </c>
      <c r="D23" s="26">
        <f t="shared" si="8"/>
        <v>5350</v>
      </c>
      <c r="E23" s="26">
        <v>5350</v>
      </c>
      <c r="F23" s="26">
        <v>5350</v>
      </c>
      <c r="G23" s="26"/>
      <c r="H23" s="26">
        <v>5350</v>
      </c>
      <c r="I23" s="26"/>
      <c r="J23" s="26"/>
      <c r="K23" s="26">
        <f t="shared" si="5"/>
        <v>16314</v>
      </c>
      <c r="L23" s="26"/>
      <c r="M23" s="26"/>
      <c r="N23" s="26"/>
      <c r="O23" s="26">
        <v>16314</v>
      </c>
      <c r="P23" s="26"/>
      <c r="Q23" s="26"/>
      <c r="R23" s="26"/>
      <c r="S23" s="26"/>
      <c r="T23" s="26"/>
      <c r="U23" s="26"/>
      <c r="V23" s="26"/>
      <c r="W23" s="35"/>
      <c r="X23" s="36">
        <v>50</v>
      </c>
      <c r="Y23" s="36"/>
      <c r="Z23" s="36"/>
      <c r="AA23" s="62">
        <f t="shared" si="6"/>
        <v>28472.980000000003</v>
      </c>
      <c r="AB23" s="63">
        <f t="shared" si="9"/>
        <v>5217.74</v>
      </c>
      <c r="AC23" s="63">
        <f t="shared" si="10"/>
        <v>5217.74</v>
      </c>
      <c r="AD23" s="63">
        <v>5217.74</v>
      </c>
      <c r="AE23" s="65"/>
      <c r="AF23" s="65">
        <v>5217.74</v>
      </c>
      <c r="AG23" s="65"/>
      <c r="AH23" s="65"/>
      <c r="AI23" s="65">
        <f t="shared" si="7"/>
        <v>23205.24</v>
      </c>
      <c r="AJ23" s="65"/>
      <c r="AK23" s="65"/>
      <c r="AL23" s="65"/>
      <c r="AM23" s="65">
        <v>23205.24</v>
      </c>
      <c r="AN23" s="65"/>
      <c r="AO23" s="65"/>
      <c r="AP23" s="65"/>
      <c r="AQ23" s="65"/>
      <c r="AR23" s="65"/>
      <c r="AS23" s="65"/>
      <c r="AT23" s="65"/>
      <c r="AU23" s="65"/>
      <c r="AV23" s="65"/>
      <c r="AW23" s="65"/>
      <c r="AX23" s="65">
        <v>0</v>
      </c>
      <c r="AY23" s="65">
        <v>50</v>
      </c>
      <c r="AZ23" s="65"/>
      <c r="BA23" s="65"/>
      <c r="BB23" s="32"/>
    </row>
    <row r="24" spans="1:54" s="31" customFormat="1" ht="24" customHeight="1">
      <c r="A24" s="24">
        <v>11</v>
      </c>
      <c r="B24" s="33" t="s">
        <v>964</v>
      </c>
      <c r="C24" s="26">
        <f t="shared" si="4"/>
        <v>15833</v>
      </c>
      <c r="D24" s="26">
        <f t="shared" si="8"/>
        <v>0</v>
      </c>
      <c r="E24" s="26"/>
      <c r="F24" s="26"/>
      <c r="G24" s="26"/>
      <c r="H24" s="26"/>
      <c r="I24" s="26"/>
      <c r="J24" s="26"/>
      <c r="K24" s="26">
        <f t="shared" si="5"/>
        <v>14688</v>
      </c>
      <c r="L24" s="26">
        <v>5576</v>
      </c>
      <c r="M24" s="26">
        <v>2503</v>
      </c>
      <c r="N24" s="26"/>
      <c r="O24" s="26"/>
      <c r="P24" s="26"/>
      <c r="Q24" s="26"/>
      <c r="R24" s="26"/>
      <c r="S24" s="26"/>
      <c r="T24" s="26"/>
      <c r="U24" s="26">
        <v>6609</v>
      </c>
      <c r="V24" s="26"/>
      <c r="W24" s="35"/>
      <c r="X24" s="36"/>
      <c r="Y24" s="36"/>
      <c r="Z24" s="648">
        <v>1145</v>
      </c>
      <c r="AA24" s="62">
        <f t="shared" si="6"/>
        <v>31558.86</v>
      </c>
      <c r="AB24" s="63">
        <f t="shared" si="9"/>
        <v>0</v>
      </c>
      <c r="AC24" s="63">
        <f t="shared" si="10"/>
        <v>0</v>
      </c>
      <c r="AD24" s="63"/>
      <c r="AE24" s="65"/>
      <c r="AF24" s="65"/>
      <c r="AG24" s="65"/>
      <c r="AH24" s="65"/>
      <c r="AI24" s="65">
        <f t="shared" si="7"/>
        <v>17423.88</v>
      </c>
      <c r="AJ24" s="65">
        <v>8126.88</v>
      </c>
      <c r="AK24" s="65">
        <f>2253</f>
        <v>2253</v>
      </c>
      <c r="AL24" s="65"/>
      <c r="AM24" s="65"/>
      <c r="AN24" s="65"/>
      <c r="AO24" s="65"/>
      <c r="AP24" s="65"/>
      <c r="AQ24" s="65"/>
      <c r="AR24" s="65"/>
      <c r="AS24" s="65">
        <v>7044</v>
      </c>
      <c r="AT24" s="65"/>
      <c r="AU24" s="65"/>
      <c r="AV24" s="65"/>
      <c r="AW24" s="65"/>
      <c r="AX24" s="65">
        <v>0</v>
      </c>
      <c r="AY24" s="65"/>
      <c r="AZ24" s="65"/>
      <c r="BA24" s="65">
        <f>12766.67+49.28+1319.03</f>
        <v>14134.980000000001</v>
      </c>
      <c r="BB24" s="30"/>
    </row>
    <row r="25" spans="1:54" s="31" customFormat="1" ht="24" customHeight="1">
      <c r="A25" s="24">
        <v>12</v>
      </c>
      <c r="B25" s="33" t="s">
        <v>965</v>
      </c>
      <c r="C25" s="26">
        <f t="shared" si="4"/>
        <v>22373</v>
      </c>
      <c r="D25" s="26">
        <f t="shared" si="8"/>
        <v>4340</v>
      </c>
      <c r="E25" s="26">
        <v>4340</v>
      </c>
      <c r="F25" s="26"/>
      <c r="G25" s="26"/>
      <c r="H25" s="26"/>
      <c r="I25" s="26">
        <v>4340</v>
      </c>
      <c r="J25" s="26"/>
      <c r="K25" s="26">
        <f t="shared" si="5"/>
        <v>18033</v>
      </c>
      <c r="L25" s="26"/>
      <c r="M25" s="26"/>
      <c r="N25" s="26"/>
      <c r="O25" s="26"/>
      <c r="P25" s="26"/>
      <c r="Q25" s="26">
        <v>14298</v>
      </c>
      <c r="R25" s="26"/>
      <c r="S25" s="26"/>
      <c r="T25" s="26"/>
      <c r="U25" s="26">
        <v>3735</v>
      </c>
      <c r="V25" s="26"/>
      <c r="W25" s="35"/>
      <c r="X25" s="36"/>
      <c r="Y25" s="36"/>
      <c r="Z25" s="37"/>
      <c r="AA25" s="62">
        <f t="shared" si="6"/>
        <v>20808.550000000003</v>
      </c>
      <c r="AB25" s="63">
        <f t="shared" si="9"/>
        <v>4310.83</v>
      </c>
      <c r="AC25" s="63">
        <f t="shared" si="10"/>
        <v>4310.83</v>
      </c>
      <c r="AD25" s="63">
        <v>4310.83</v>
      </c>
      <c r="AE25" s="65"/>
      <c r="AF25" s="65"/>
      <c r="AG25" s="65">
        <v>4310.83</v>
      </c>
      <c r="AH25" s="65"/>
      <c r="AI25" s="65">
        <f t="shared" si="7"/>
        <v>16497.72</v>
      </c>
      <c r="AJ25" s="65"/>
      <c r="AK25" s="65"/>
      <c r="AL25" s="65"/>
      <c r="AM25" s="65"/>
      <c r="AN25" s="65"/>
      <c r="AO25" s="65">
        <v>12738.72</v>
      </c>
      <c r="AP25" s="65"/>
      <c r="AQ25" s="65"/>
      <c r="AR25" s="65"/>
      <c r="AS25" s="65">
        <v>3759</v>
      </c>
      <c r="AT25" s="65"/>
      <c r="AU25" s="65"/>
      <c r="AV25" s="65"/>
      <c r="AW25" s="65"/>
      <c r="AX25" s="65">
        <v>0</v>
      </c>
      <c r="AY25" s="65"/>
      <c r="AZ25" s="65"/>
      <c r="BA25" s="65"/>
      <c r="BB25" s="32"/>
    </row>
    <row r="26" spans="1:54" s="31" customFormat="1" ht="24" customHeight="1">
      <c r="A26" s="24">
        <v>13</v>
      </c>
      <c r="B26" s="33" t="s">
        <v>966</v>
      </c>
      <c r="C26" s="26">
        <f t="shared" si="4"/>
        <v>10988</v>
      </c>
      <c r="D26" s="26">
        <f t="shared" si="8"/>
        <v>0</v>
      </c>
      <c r="E26" s="26"/>
      <c r="F26" s="26"/>
      <c r="G26" s="26"/>
      <c r="H26" s="26"/>
      <c r="I26" s="26"/>
      <c r="J26" s="26"/>
      <c r="K26" s="26">
        <f t="shared" si="5"/>
        <v>10988</v>
      </c>
      <c r="L26" s="26">
        <v>3000</v>
      </c>
      <c r="M26" s="26"/>
      <c r="N26" s="26"/>
      <c r="O26" s="26"/>
      <c r="P26" s="26"/>
      <c r="Q26" s="26"/>
      <c r="R26" s="26"/>
      <c r="S26" s="26"/>
      <c r="T26" s="26"/>
      <c r="U26" s="26">
        <v>7988</v>
      </c>
      <c r="V26" s="26"/>
      <c r="W26" s="35"/>
      <c r="X26" s="36"/>
      <c r="Y26" s="36"/>
      <c r="Z26" s="37"/>
      <c r="AA26" s="62">
        <f t="shared" si="6"/>
        <v>218121.9</v>
      </c>
      <c r="AB26" s="63">
        <f t="shared" si="9"/>
        <v>73997.02</v>
      </c>
      <c r="AC26" s="63">
        <f t="shared" si="10"/>
        <v>73997.02</v>
      </c>
      <c r="AD26" s="63">
        <v>73997.02</v>
      </c>
      <c r="AE26" s="65"/>
      <c r="AF26" s="65"/>
      <c r="AG26" s="65"/>
      <c r="AH26" s="65"/>
      <c r="AI26" s="65">
        <f t="shared" si="7"/>
        <v>12534.23</v>
      </c>
      <c r="AJ26" s="65">
        <f>3000+952.23</f>
        <v>3952.23</v>
      </c>
      <c r="AK26" s="65"/>
      <c r="AL26" s="65"/>
      <c r="AM26" s="65"/>
      <c r="AN26" s="65"/>
      <c r="AO26" s="65"/>
      <c r="AP26" s="65"/>
      <c r="AQ26" s="65"/>
      <c r="AR26" s="65"/>
      <c r="AS26" s="65">
        <v>8582</v>
      </c>
      <c r="AT26" s="65"/>
      <c r="AU26" s="65"/>
      <c r="AV26" s="65"/>
      <c r="AW26" s="65"/>
      <c r="AX26" s="65">
        <v>0</v>
      </c>
      <c r="AY26" s="65"/>
      <c r="AZ26" s="65"/>
      <c r="BA26" s="65">
        <f>66647.08+64943.57</f>
        <v>131590.65</v>
      </c>
      <c r="BB26" s="30"/>
    </row>
    <row r="27" spans="1:54" s="31" customFormat="1" ht="24" customHeight="1">
      <c r="A27" s="24">
        <v>14</v>
      </c>
      <c r="B27" s="33" t="s">
        <v>967</v>
      </c>
      <c r="C27" s="26">
        <f t="shared" si="4"/>
        <v>13531</v>
      </c>
      <c r="D27" s="26">
        <f t="shared" si="8"/>
        <v>0</v>
      </c>
      <c r="E27" s="26"/>
      <c r="F27" s="26"/>
      <c r="G27" s="26"/>
      <c r="H27" s="26"/>
      <c r="I27" s="26"/>
      <c r="J27" s="26"/>
      <c r="K27" s="26">
        <f t="shared" si="5"/>
        <v>13531</v>
      </c>
      <c r="L27" s="26"/>
      <c r="M27" s="26"/>
      <c r="N27" s="26"/>
      <c r="O27" s="26"/>
      <c r="P27" s="26"/>
      <c r="Q27" s="26"/>
      <c r="R27" s="26"/>
      <c r="S27" s="26"/>
      <c r="T27" s="26"/>
      <c r="U27" s="26">
        <v>13531</v>
      </c>
      <c r="V27" s="26"/>
      <c r="W27" s="35"/>
      <c r="X27" s="36"/>
      <c r="Y27" s="36"/>
      <c r="Z27" s="37"/>
      <c r="AA27" s="62">
        <f t="shared" si="6"/>
        <v>15031.51</v>
      </c>
      <c r="AB27" s="63"/>
      <c r="AC27" s="63"/>
      <c r="AD27" s="63"/>
      <c r="AE27" s="65"/>
      <c r="AF27" s="65"/>
      <c r="AG27" s="65"/>
      <c r="AH27" s="65"/>
      <c r="AI27" s="65">
        <f t="shared" si="7"/>
        <v>15022</v>
      </c>
      <c r="AJ27" s="65"/>
      <c r="AK27" s="65"/>
      <c r="AL27" s="65"/>
      <c r="AM27" s="65"/>
      <c r="AN27" s="65"/>
      <c r="AO27" s="65"/>
      <c r="AP27" s="65"/>
      <c r="AQ27" s="65"/>
      <c r="AR27" s="65"/>
      <c r="AS27" s="65">
        <v>15022</v>
      </c>
      <c r="AT27" s="65"/>
      <c r="AU27" s="65"/>
      <c r="AV27" s="65"/>
      <c r="AW27" s="65"/>
      <c r="AX27" s="65">
        <v>0</v>
      </c>
      <c r="AY27" s="65"/>
      <c r="AZ27" s="65"/>
      <c r="BA27" s="65">
        <v>9.51</v>
      </c>
      <c r="BB27" s="32"/>
    </row>
    <row r="28" spans="1:54" s="31" customFormat="1" ht="24" customHeight="1">
      <c r="A28" s="24">
        <v>15</v>
      </c>
      <c r="B28" s="33" t="s">
        <v>968</v>
      </c>
      <c r="C28" s="26">
        <f t="shared" si="4"/>
        <v>11724</v>
      </c>
      <c r="D28" s="26">
        <f t="shared" si="8"/>
        <v>0</v>
      </c>
      <c r="E28" s="26"/>
      <c r="F28" s="26"/>
      <c r="G28" s="26"/>
      <c r="H28" s="26"/>
      <c r="I28" s="26"/>
      <c r="J28" s="26"/>
      <c r="K28" s="26">
        <f t="shared" si="5"/>
        <v>11724</v>
      </c>
      <c r="L28" s="26"/>
      <c r="M28" s="26"/>
      <c r="N28" s="26"/>
      <c r="O28" s="26"/>
      <c r="P28" s="26"/>
      <c r="Q28" s="26"/>
      <c r="R28" s="26"/>
      <c r="S28" s="26"/>
      <c r="T28" s="26"/>
      <c r="U28" s="26">
        <v>11724</v>
      </c>
      <c r="V28" s="26"/>
      <c r="W28" s="35"/>
      <c r="X28" s="36"/>
      <c r="Y28" s="36"/>
      <c r="Z28" s="37"/>
      <c r="AA28" s="62">
        <f t="shared" si="6"/>
        <v>12639</v>
      </c>
      <c r="AB28" s="63"/>
      <c r="AC28" s="63"/>
      <c r="AD28" s="63"/>
      <c r="AE28" s="65"/>
      <c r="AF28" s="65"/>
      <c r="AG28" s="65"/>
      <c r="AH28" s="65"/>
      <c r="AI28" s="65">
        <f t="shared" si="7"/>
        <v>12639</v>
      </c>
      <c r="AJ28" s="65"/>
      <c r="AK28" s="65"/>
      <c r="AL28" s="65"/>
      <c r="AM28" s="65"/>
      <c r="AN28" s="65"/>
      <c r="AO28" s="65"/>
      <c r="AP28" s="65"/>
      <c r="AQ28" s="65"/>
      <c r="AR28" s="65"/>
      <c r="AS28" s="65">
        <v>12639</v>
      </c>
      <c r="AT28" s="65"/>
      <c r="AU28" s="65"/>
      <c r="AV28" s="65"/>
      <c r="AW28" s="65"/>
      <c r="AX28" s="65">
        <v>0</v>
      </c>
      <c r="AY28" s="65"/>
      <c r="AZ28" s="65"/>
      <c r="BA28" s="65"/>
      <c r="BB28" s="32"/>
    </row>
    <row r="29" spans="1:54" s="31" customFormat="1" ht="24" customHeight="1">
      <c r="A29" s="24">
        <v>16</v>
      </c>
      <c r="B29" s="33" t="s">
        <v>969</v>
      </c>
      <c r="C29" s="26">
        <f t="shared" si="4"/>
        <v>367643</v>
      </c>
      <c r="D29" s="26">
        <f t="shared" si="8"/>
        <v>14984</v>
      </c>
      <c r="E29" s="26">
        <v>14984</v>
      </c>
      <c r="F29" s="26"/>
      <c r="G29" s="26"/>
      <c r="H29" s="26">
        <v>14984</v>
      </c>
      <c r="I29" s="26"/>
      <c r="J29" s="26"/>
      <c r="K29" s="26">
        <f t="shared" si="5"/>
        <v>341318</v>
      </c>
      <c r="L29" s="26"/>
      <c r="M29" s="26">
        <v>50</v>
      </c>
      <c r="N29" s="26"/>
      <c r="O29" s="26">
        <v>332138</v>
      </c>
      <c r="P29" s="26"/>
      <c r="Q29" s="26"/>
      <c r="R29" s="26"/>
      <c r="S29" s="26"/>
      <c r="T29" s="26"/>
      <c r="U29" s="26">
        <v>9130</v>
      </c>
      <c r="V29" s="26"/>
      <c r="W29" s="35"/>
      <c r="X29" s="37">
        <v>11130</v>
      </c>
      <c r="Y29" s="36"/>
      <c r="Z29" s="647">
        <v>211</v>
      </c>
      <c r="AA29" s="62">
        <f t="shared" si="6"/>
        <v>411076.63</v>
      </c>
      <c r="AB29" s="63">
        <f aca="true" t="shared" si="11" ref="AB29:AB37">SUM(AC29,AH29)</f>
        <v>12252.36</v>
      </c>
      <c r="AC29" s="63">
        <f aca="true" t="shared" si="12" ref="AC29:AC37">SUM(AD29:AE29)</f>
        <v>12252.36</v>
      </c>
      <c r="AD29" s="63">
        <f>9550.99+733.77</f>
        <v>10284.76</v>
      </c>
      <c r="AE29" s="65">
        <v>1967.6</v>
      </c>
      <c r="AF29" s="65">
        <v>12252.36</v>
      </c>
      <c r="AG29" s="67"/>
      <c r="AH29" s="65"/>
      <c r="AI29" s="65">
        <f t="shared" si="7"/>
        <v>369534.71</v>
      </c>
      <c r="AJ29" s="65">
        <v>104</v>
      </c>
      <c r="AK29" s="65">
        <v>49.6</v>
      </c>
      <c r="AL29" s="65"/>
      <c r="AM29" s="65">
        <f>312431.75+45430.4</f>
        <v>357862.15</v>
      </c>
      <c r="AN29" s="65"/>
      <c r="AO29" s="65"/>
      <c r="AP29" s="65"/>
      <c r="AQ29" s="65"/>
      <c r="AR29" s="65">
        <v>2011.56</v>
      </c>
      <c r="AS29" s="65">
        <v>9507.4</v>
      </c>
      <c r="AT29" s="65"/>
      <c r="AU29" s="65"/>
      <c r="AV29" s="65"/>
      <c r="AW29" s="65"/>
      <c r="AX29" s="65">
        <v>0</v>
      </c>
      <c r="AY29" s="65">
        <f>10661.9+149.87+17730</f>
        <v>28541.77</v>
      </c>
      <c r="AZ29" s="65"/>
      <c r="BA29" s="65">
        <v>747.79</v>
      </c>
      <c r="BB29" s="30"/>
    </row>
    <row r="30" spans="1:54" s="31" customFormat="1" ht="24" customHeight="1">
      <c r="A30" s="24">
        <v>17</v>
      </c>
      <c r="B30" s="33" t="s">
        <v>970</v>
      </c>
      <c r="C30" s="26">
        <f t="shared" si="4"/>
        <v>362081</v>
      </c>
      <c r="D30" s="26">
        <f t="shared" si="8"/>
        <v>7780</v>
      </c>
      <c r="E30" s="26">
        <v>7780</v>
      </c>
      <c r="F30" s="26"/>
      <c r="G30" s="26"/>
      <c r="H30" s="26"/>
      <c r="I30" s="26">
        <v>1800</v>
      </c>
      <c r="J30" s="26"/>
      <c r="K30" s="26">
        <f t="shared" si="5"/>
        <v>344931</v>
      </c>
      <c r="L30" s="26"/>
      <c r="M30" s="26">
        <v>4100</v>
      </c>
      <c r="N30" s="26"/>
      <c r="O30" s="26">
        <v>8336</v>
      </c>
      <c r="P30" s="26">
        <v>324109</v>
      </c>
      <c r="Q30" s="26"/>
      <c r="R30" s="26"/>
      <c r="S30" s="26"/>
      <c r="T30" s="26"/>
      <c r="U30" s="26">
        <v>8386</v>
      </c>
      <c r="V30" s="26"/>
      <c r="W30" s="35"/>
      <c r="X30" s="37">
        <v>9370</v>
      </c>
      <c r="Y30" s="36"/>
      <c r="Z30" s="37"/>
      <c r="AA30" s="62">
        <f t="shared" si="6"/>
        <v>497950.6</v>
      </c>
      <c r="AB30" s="63">
        <f t="shared" si="11"/>
        <v>39096.25</v>
      </c>
      <c r="AC30" s="63">
        <f t="shared" si="12"/>
        <v>39096.25</v>
      </c>
      <c r="AD30" s="63">
        <v>1800</v>
      </c>
      <c r="AE30" s="65">
        <f>11318.91+25977.34</f>
        <v>37296.25</v>
      </c>
      <c r="AF30" s="65"/>
      <c r="AG30" s="65">
        <v>1800</v>
      </c>
      <c r="AH30" s="65"/>
      <c r="AI30" s="65">
        <f t="shared" si="7"/>
        <v>422301.11</v>
      </c>
      <c r="AJ30" s="65">
        <v>296</v>
      </c>
      <c r="AK30" s="65">
        <f>100+4000</f>
        <v>4100</v>
      </c>
      <c r="AL30" s="65"/>
      <c r="AM30" s="65">
        <v>13135.53</v>
      </c>
      <c r="AN30" s="65">
        <f>385999.29+4463.79</f>
        <v>390463.07999999996</v>
      </c>
      <c r="AO30" s="65"/>
      <c r="AP30" s="65"/>
      <c r="AQ30" s="65"/>
      <c r="AR30" s="65">
        <v>5695.5</v>
      </c>
      <c r="AS30" s="65">
        <v>8611</v>
      </c>
      <c r="AT30" s="65"/>
      <c r="AU30" s="65"/>
      <c r="AV30" s="65"/>
      <c r="AW30" s="65"/>
      <c r="AX30" s="65">
        <v>0</v>
      </c>
      <c r="AY30" s="65">
        <f>9290+100</f>
        <v>9390</v>
      </c>
      <c r="AZ30" s="65"/>
      <c r="BA30" s="65">
        <f>7833+7487.21+11843.03</f>
        <v>27163.239999999998</v>
      </c>
      <c r="BB30" s="30"/>
    </row>
    <row r="31" spans="1:54" s="31" customFormat="1" ht="24" customHeight="1">
      <c r="A31" s="24">
        <v>18</v>
      </c>
      <c r="B31" s="33" t="s">
        <v>971</v>
      </c>
      <c r="C31" s="26">
        <f t="shared" si="4"/>
        <v>113282</v>
      </c>
      <c r="D31" s="26">
        <f t="shared" si="8"/>
        <v>1996</v>
      </c>
      <c r="E31" s="26">
        <v>1996</v>
      </c>
      <c r="F31" s="26"/>
      <c r="G31" s="26"/>
      <c r="H31" s="26"/>
      <c r="I31" s="26"/>
      <c r="J31" s="26"/>
      <c r="K31" s="26">
        <f t="shared" si="5"/>
        <v>89487</v>
      </c>
      <c r="L31" s="26">
        <v>43403</v>
      </c>
      <c r="M31" s="26">
        <v>50</v>
      </c>
      <c r="N31" s="26"/>
      <c r="O31" s="26"/>
      <c r="P31" s="26"/>
      <c r="Q31" s="26"/>
      <c r="R31" s="26"/>
      <c r="S31" s="26"/>
      <c r="T31" s="26"/>
      <c r="U31" s="26">
        <v>46034</v>
      </c>
      <c r="V31" s="26"/>
      <c r="W31" s="35"/>
      <c r="X31" s="36">
        <v>1065</v>
      </c>
      <c r="Y31" s="36"/>
      <c r="Z31" s="647">
        <v>20734</v>
      </c>
      <c r="AA31" s="62">
        <f t="shared" si="6"/>
        <v>127641.7</v>
      </c>
      <c r="AB31" s="63">
        <f t="shared" si="11"/>
        <v>3832.08</v>
      </c>
      <c r="AC31" s="63">
        <f t="shared" si="12"/>
        <v>3832.08</v>
      </c>
      <c r="AD31" s="63">
        <v>3832.08</v>
      </c>
      <c r="AE31" s="65"/>
      <c r="AF31" s="65"/>
      <c r="AG31" s="65"/>
      <c r="AH31" s="65"/>
      <c r="AI31" s="65">
        <f t="shared" si="7"/>
        <v>92000.33</v>
      </c>
      <c r="AJ31" s="65">
        <f>44751.7+425.51</f>
        <v>45177.21</v>
      </c>
      <c r="AK31" s="65">
        <v>50</v>
      </c>
      <c r="AL31" s="65"/>
      <c r="AM31" s="65"/>
      <c r="AN31" s="65"/>
      <c r="AO31" s="65"/>
      <c r="AP31" s="65"/>
      <c r="AQ31" s="65"/>
      <c r="AR31" s="65"/>
      <c r="AS31" s="65">
        <v>46773.12</v>
      </c>
      <c r="AT31" s="65"/>
      <c r="AU31" s="65"/>
      <c r="AV31" s="65"/>
      <c r="AW31" s="65"/>
      <c r="AX31" s="65">
        <v>0</v>
      </c>
      <c r="AY31" s="65">
        <f>971.94+40+25.76</f>
        <v>1037.7</v>
      </c>
      <c r="AZ31" s="65"/>
      <c r="BA31" s="65">
        <f>3889.01+719.48+26163.1</f>
        <v>30771.589999999997</v>
      </c>
      <c r="BB31" s="30"/>
    </row>
    <row r="32" spans="1:54" s="31" customFormat="1" ht="24" customHeight="1">
      <c r="A32" s="24">
        <v>19</v>
      </c>
      <c r="B32" s="33" t="s">
        <v>972</v>
      </c>
      <c r="C32" s="26">
        <f t="shared" si="4"/>
        <v>19736</v>
      </c>
      <c r="D32" s="26">
        <f t="shared" si="8"/>
        <v>3000</v>
      </c>
      <c r="E32" s="26">
        <v>3000</v>
      </c>
      <c r="F32" s="26"/>
      <c r="G32" s="26"/>
      <c r="H32" s="26"/>
      <c r="I32" s="26"/>
      <c r="J32" s="26"/>
      <c r="K32" s="26">
        <f t="shared" si="5"/>
        <v>16736</v>
      </c>
      <c r="L32" s="26">
        <v>2741</v>
      </c>
      <c r="M32" s="34">
        <v>20</v>
      </c>
      <c r="N32" s="26"/>
      <c r="O32" s="26"/>
      <c r="P32" s="26"/>
      <c r="Q32" s="26"/>
      <c r="R32" s="26"/>
      <c r="S32" s="26"/>
      <c r="T32" s="26"/>
      <c r="U32" s="26">
        <v>13975</v>
      </c>
      <c r="V32" s="26"/>
      <c r="W32" s="35"/>
      <c r="X32" s="36"/>
      <c r="Y32" s="36"/>
      <c r="Z32" s="36"/>
      <c r="AA32" s="62">
        <f t="shared" si="6"/>
        <v>20406.010000000002</v>
      </c>
      <c r="AB32" s="63">
        <f t="shared" si="11"/>
        <v>2655.13</v>
      </c>
      <c r="AC32" s="63">
        <f t="shared" si="12"/>
        <v>2655.13</v>
      </c>
      <c r="AD32" s="63">
        <v>2655.13</v>
      </c>
      <c r="AE32" s="65"/>
      <c r="AF32" s="65"/>
      <c r="AG32" s="65"/>
      <c r="AH32" s="65"/>
      <c r="AI32" s="65">
        <f t="shared" si="7"/>
        <v>17750.88</v>
      </c>
      <c r="AJ32" s="65">
        <f>3085.57</f>
        <v>3085.57</v>
      </c>
      <c r="AK32" s="65">
        <v>20</v>
      </c>
      <c r="AL32" s="65"/>
      <c r="AM32" s="65"/>
      <c r="AN32" s="65"/>
      <c r="AO32" s="65"/>
      <c r="AP32" s="65"/>
      <c r="AQ32" s="65"/>
      <c r="AR32" s="65"/>
      <c r="AS32" s="65">
        <v>14645.31</v>
      </c>
      <c r="AT32" s="65"/>
      <c r="AU32" s="65"/>
      <c r="AV32" s="65"/>
      <c r="AW32" s="65"/>
      <c r="AX32" s="65">
        <v>0</v>
      </c>
      <c r="AY32" s="65"/>
      <c r="AZ32" s="65"/>
      <c r="BA32" s="65"/>
      <c r="BB32" s="32"/>
    </row>
    <row r="33" spans="1:54" s="31" customFormat="1" ht="24" customHeight="1">
      <c r="A33" s="24">
        <v>20</v>
      </c>
      <c r="B33" s="33" t="s">
        <v>973</v>
      </c>
      <c r="C33" s="26">
        <f t="shared" si="4"/>
        <v>57234</v>
      </c>
      <c r="D33" s="26">
        <f t="shared" si="8"/>
        <v>0</v>
      </c>
      <c r="E33" s="26"/>
      <c r="F33" s="26"/>
      <c r="G33" s="26"/>
      <c r="H33" s="26"/>
      <c r="I33" s="26"/>
      <c r="J33" s="26"/>
      <c r="K33" s="26">
        <f t="shared" si="5"/>
        <v>53939</v>
      </c>
      <c r="L33" s="26">
        <v>1104</v>
      </c>
      <c r="M33" s="26"/>
      <c r="N33" s="26"/>
      <c r="O33" s="26">
        <v>1664</v>
      </c>
      <c r="P33" s="26"/>
      <c r="Q33" s="26"/>
      <c r="R33" s="26"/>
      <c r="S33" s="26"/>
      <c r="T33" s="26">
        <v>44691</v>
      </c>
      <c r="U33" s="26">
        <v>6480</v>
      </c>
      <c r="V33" s="26"/>
      <c r="W33" s="35"/>
      <c r="X33" s="36">
        <v>2210</v>
      </c>
      <c r="Y33" s="36"/>
      <c r="Z33" s="647">
        <v>1085</v>
      </c>
      <c r="AA33" s="62">
        <f t="shared" si="6"/>
        <v>64556.11</v>
      </c>
      <c r="AB33" s="63">
        <f t="shared" si="11"/>
        <v>100</v>
      </c>
      <c r="AC33" s="63">
        <f t="shared" si="12"/>
        <v>100</v>
      </c>
      <c r="AD33" s="63">
        <v>100</v>
      </c>
      <c r="AE33" s="65"/>
      <c r="AF33" s="65">
        <v>100</v>
      </c>
      <c r="AG33" s="65"/>
      <c r="AH33" s="65"/>
      <c r="AI33" s="65">
        <f t="shared" si="7"/>
        <v>56103.71</v>
      </c>
      <c r="AJ33" s="65">
        <v>1113</v>
      </c>
      <c r="AK33" s="65"/>
      <c r="AL33" s="65"/>
      <c r="AM33" s="65">
        <v>1689</v>
      </c>
      <c r="AN33" s="65"/>
      <c r="AO33" s="65"/>
      <c r="AP33" s="65"/>
      <c r="AQ33" s="65"/>
      <c r="AR33" s="65">
        <f>21211.04+25260.96</f>
        <v>46472</v>
      </c>
      <c r="AS33" s="65">
        <v>6829.71</v>
      </c>
      <c r="AT33" s="65"/>
      <c r="AU33" s="65"/>
      <c r="AV33" s="65"/>
      <c r="AW33" s="65"/>
      <c r="AX33" s="65">
        <v>0</v>
      </c>
      <c r="AY33" s="65">
        <f>502.79+1582.8</f>
        <v>2085.59</v>
      </c>
      <c r="AZ33" s="65"/>
      <c r="BA33" s="65">
        <f>1085+5181.81</f>
        <v>6266.81</v>
      </c>
      <c r="BB33" s="30"/>
    </row>
    <row r="34" spans="1:54" s="31" customFormat="1" ht="24" customHeight="1">
      <c r="A34" s="24">
        <v>21</v>
      </c>
      <c r="B34" s="33" t="s">
        <v>974</v>
      </c>
      <c r="C34" s="26">
        <f t="shared" si="4"/>
        <v>19998</v>
      </c>
      <c r="D34" s="26">
        <f t="shared" si="8"/>
        <v>2600</v>
      </c>
      <c r="E34" s="26">
        <v>2600</v>
      </c>
      <c r="F34" s="26"/>
      <c r="G34" s="26"/>
      <c r="H34" s="26"/>
      <c r="I34" s="26"/>
      <c r="J34" s="26"/>
      <c r="K34" s="26">
        <f t="shared" si="5"/>
        <v>17348</v>
      </c>
      <c r="L34" s="26"/>
      <c r="M34" s="26"/>
      <c r="N34" s="26"/>
      <c r="O34" s="26"/>
      <c r="P34" s="26"/>
      <c r="Q34" s="26"/>
      <c r="R34" s="26"/>
      <c r="S34" s="26">
        <v>17348</v>
      </c>
      <c r="T34" s="26"/>
      <c r="U34" s="26"/>
      <c r="V34" s="26"/>
      <c r="W34" s="35"/>
      <c r="X34" s="36">
        <v>50</v>
      </c>
      <c r="Y34" s="36"/>
      <c r="Z34" s="37"/>
      <c r="AA34" s="62">
        <f t="shared" si="6"/>
        <v>20366</v>
      </c>
      <c r="AB34" s="63">
        <f t="shared" si="11"/>
        <v>2600</v>
      </c>
      <c r="AC34" s="63">
        <f t="shared" si="12"/>
        <v>2600</v>
      </c>
      <c r="AD34" s="63">
        <v>2600</v>
      </c>
      <c r="AE34" s="65"/>
      <c r="AF34" s="65"/>
      <c r="AG34" s="65"/>
      <c r="AH34" s="65"/>
      <c r="AI34" s="65">
        <f t="shared" si="7"/>
        <v>17716</v>
      </c>
      <c r="AJ34" s="65"/>
      <c r="AK34" s="65"/>
      <c r="AL34" s="65"/>
      <c r="AM34" s="65"/>
      <c r="AN34" s="65"/>
      <c r="AO34" s="65"/>
      <c r="AP34" s="65"/>
      <c r="AQ34" s="65">
        <v>17716</v>
      </c>
      <c r="AR34" s="65"/>
      <c r="AS34" s="65"/>
      <c r="AT34" s="65"/>
      <c r="AU34" s="65"/>
      <c r="AV34" s="65"/>
      <c r="AW34" s="65"/>
      <c r="AX34" s="65">
        <v>0</v>
      </c>
      <c r="AY34" s="65">
        <v>50</v>
      </c>
      <c r="AZ34" s="65"/>
      <c r="BA34" s="65"/>
      <c r="BB34" s="32"/>
    </row>
    <row r="35" spans="1:54" s="31" customFormat="1" ht="24" customHeight="1">
      <c r="A35" s="24">
        <v>22</v>
      </c>
      <c r="B35" s="33" t="s">
        <v>975</v>
      </c>
      <c r="C35" s="26">
        <f t="shared" si="4"/>
        <v>5598</v>
      </c>
      <c r="D35" s="26">
        <f t="shared" si="8"/>
        <v>0</v>
      </c>
      <c r="E35" s="26"/>
      <c r="F35" s="26"/>
      <c r="G35" s="26"/>
      <c r="H35" s="26"/>
      <c r="I35" s="26"/>
      <c r="J35" s="26"/>
      <c r="K35" s="26">
        <f t="shared" si="5"/>
        <v>5598</v>
      </c>
      <c r="L35" s="26"/>
      <c r="M35" s="26"/>
      <c r="N35" s="26"/>
      <c r="O35" s="26"/>
      <c r="P35" s="26"/>
      <c r="Q35" s="26"/>
      <c r="R35" s="26"/>
      <c r="S35" s="26"/>
      <c r="T35" s="26"/>
      <c r="U35" s="26">
        <v>5598</v>
      </c>
      <c r="V35" s="26"/>
      <c r="W35" s="35"/>
      <c r="X35" s="36"/>
      <c r="Y35" s="36"/>
      <c r="Z35" s="37"/>
      <c r="AA35" s="62">
        <f t="shared" si="6"/>
        <v>5971</v>
      </c>
      <c r="AB35" s="63">
        <f t="shared" si="11"/>
        <v>0</v>
      </c>
      <c r="AC35" s="63">
        <f t="shared" si="12"/>
        <v>0</v>
      </c>
      <c r="AD35" s="63"/>
      <c r="AE35" s="65"/>
      <c r="AF35" s="65"/>
      <c r="AG35" s="65"/>
      <c r="AH35" s="65"/>
      <c r="AI35" s="65">
        <f t="shared" si="7"/>
        <v>5971</v>
      </c>
      <c r="AJ35" s="65"/>
      <c r="AK35" s="65"/>
      <c r="AL35" s="65"/>
      <c r="AM35" s="65"/>
      <c r="AN35" s="65"/>
      <c r="AO35" s="65"/>
      <c r="AP35" s="65"/>
      <c r="AQ35" s="65"/>
      <c r="AR35" s="65"/>
      <c r="AS35" s="65">
        <v>5971</v>
      </c>
      <c r="AT35" s="65"/>
      <c r="AU35" s="65"/>
      <c r="AV35" s="65"/>
      <c r="AW35" s="65"/>
      <c r="AX35" s="65">
        <v>0</v>
      </c>
      <c r="AY35" s="65"/>
      <c r="AZ35" s="65"/>
      <c r="BA35" s="65"/>
      <c r="BB35" s="32"/>
    </row>
    <row r="36" spans="1:54" s="31" customFormat="1" ht="24" customHeight="1">
      <c r="A36" s="24">
        <v>23</v>
      </c>
      <c r="B36" s="33" t="s">
        <v>976</v>
      </c>
      <c r="C36" s="26">
        <f t="shared" si="4"/>
        <v>21699</v>
      </c>
      <c r="D36" s="26">
        <f t="shared" si="8"/>
        <v>1800</v>
      </c>
      <c r="E36" s="26">
        <v>1800</v>
      </c>
      <c r="F36" s="26"/>
      <c r="G36" s="26"/>
      <c r="H36" s="26"/>
      <c r="I36" s="26"/>
      <c r="J36" s="26"/>
      <c r="K36" s="26">
        <f t="shared" si="5"/>
        <v>16749</v>
      </c>
      <c r="L36" s="26">
        <v>658</v>
      </c>
      <c r="M36" s="26"/>
      <c r="N36" s="26"/>
      <c r="O36" s="26"/>
      <c r="P36" s="26"/>
      <c r="Q36" s="26"/>
      <c r="R36" s="26"/>
      <c r="S36" s="26"/>
      <c r="T36" s="26"/>
      <c r="U36" s="26">
        <v>16091</v>
      </c>
      <c r="V36" s="26"/>
      <c r="W36" s="35"/>
      <c r="X36" s="36">
        <v>650</v>
      </c>
      <c r="Y36" s="36"/>
      <c r="Z36" s="647">
        <v>2500</v>
      </c>
      <c r="AA36" s="62">
        <f t="shared" si="6"/>
        <v>21776.93</v>
      </c>
      <c r="AB36" s="63">
        <f t="shared" si="11"/>
        <v>1800</v>
      </c>
      <c r="AC36" s="63">
        <f t="shared" si="12"/>
        <v>1800</v>
      </c>
      <c r="AD36" s="63">
        <v>1800</v>
      </c>
      <c r="AE36" s="65"/>
      <c r="AF36" s="65"/>
      <c r="AG36" s="65"/>
      <c r="AH36" s="65"/>
      <c r="AI36" s="65">
        <f t="shared" si="7"/>
        <v>18955.93</v>
      </c>
      <c r="AJ36" s="65">
        <v>820</v>
      </c>
      <c r="AK36" s="65"/>
      <c r="AL36" s="65"/>
      <c r="AM36" s="65"/>
      <c r="AN36" s="65"/>
      <c r="AO36" s="65"/>
      <c r="AP36" s="65"/>
      <c r="AQ36" s="65"/>
      <c r="AR36" s="65"/>
      <c r="AS36" s="65">
        <v>18135.93</v>
      </c>
      <c r="AT36" s="65"/>
      <c r="AU36" s="65"/>
      <c r="AV36" s="65"/>
      <c r="AW36" s="65"/>
      <c r="AX36" s="65">
        <v>0</v>
      </c>
      <c r="AY36" s="65">
        <v>650</v>
      </c>
      <c r="AZ36" s="65"/>
      <c r="BA36" s="65">
        <v>371</v>
      </c>
      <c r="BB36" s="32"/>
    </row>
    <row r="37" spans="1:54" s="31" customFormat="1" ht="24" customHeight="1">
      <c r="A37" s="24">
        <v>24</v>
      </c>
      <c r="B37" s="33" t="s">
        <v>977</v>
      </c>
      <c r="C37" s="26">
        <f t="shared" si="4"/>
        <v>11417</v>
      </c>
      <c r="D37" s="26">
        <f t="shared" si="8"/>
        <v>700</v>
      </c>
      <c r="E37" s="26">
        <v>700</v>
      </c>
      <c r="F37" s="26"/>
      <c r="G37" s="26"/>
      <c r="H37" s="26"/>
      <c r="I37" s="26"/>
      <c r="J37" s="26"/>
      <c r="K37" s="26">
        <f t="shared" si="5"/>
        <v>8287</v>
      </c>
      <c r="L37" s="26">
        <v>2264</v>
      </c>
      <c r="M37" s="26"/>
      <c r="N37" s="26"/>
      <c r="O37" s="26"/>
      <c r="P37" s="26"/>
      <c r="Q37" s="26"/>
      <c r="R37" s="26"/>
      <c r="S37" s="26"/>
      <c r="T37" s="26"/>
      <c r="U37" s="26">
        <v>6023</v>
      </c>
      <c r="V37" s="26"/>
      <c r="W37" s="35"/>
      <c r="X37" s="36"/>
      <c r="Y37" s="36"/>
      <c r="Z37" s="648">
        <v>2430</v>
      </c>
      <c r="AA37" s="62">
        <f t="shared" si="6"/>
        <v>25544.45</v>
      </c>
      <c r="AB37" s="63">
        <f t="shared" si="11"/>
        <v>2067.18</v>
      </c>
      <c r="AC37" s="63">
        <f t="shared" si="12"/>
        <v>2067.18</v>
      </c>
      <c r="AD37" s="63">
        <v>2067.18</v>
      </c>
      <c r="AE37" s="65"/>
      <c r="AF37" s="65"/>
      <c r="AG37" s="65"/>
      <c r="AH37" s="65"/>
      <c r="AI37" s="65">
        <f t="shared" si="7"/>
        <v>12579.07</v>
      </c>
      <c r="AJ37" s="65">
        <v>6298.07</v>
      </c>
      <c r="AK37" s="65"/>
      <c r="AL37" s="65"/>
      <c r="AM37" s="65"/>
      <c r="AN37" s="65"/>
      <c r="AO37" s="65"/>
      <c r="AP37" s="65"/>
      <c r="AQ37" s="65"/>
      <c r="AR37" s="65"/>
      <c r="AS37" s="65">
        <f>4281+2000</f>
        <v>6281</v>
      </c>
      <c r="AT37" s="65"/>
      <c r="AU37" s="65"/>
      <c r="AV37" s="65"/>
      <c r="AW37" s="65"/>
      <c r="AX37" s="65">
        <v>0</v>
      </c>
      <c r="AY37" s="65"/>
      <c r="AZ37" s="65"/>
      <c r="BA37" s="65">
        <v>10898.2</v>
      </c>
      <c r="BB37" s="30"/>
    </row>
    <row r="38" spans="1:54" s="31" customFormat="1" ht="24" customHeight="1">
      <c r="A38" s="24">
        <v>25</v>
      </c>
      <c r="B38" s="33" t="s">
        <v>978</v>
      </c>
      <c r="C38" s="26">
        <f t="shared" si="4"/>
        <v>2693</v>
      </c>
      <c r="D38" s="26">
        <f t="shared" si="8"/>
        <v>0</v>
      </c>
      <c r="E38" s="26"/>
      <c r="F38" s="26"/>
      <c r="G38" s="26"/>
      <c r="H38" s="26"/>
      <c r="I38" s="26"/>
      <c r="J38" s="26"/>
      <c r="K38" s="26">
        <f t="shared" si="5"/>
        <v>2693</v>
      </c>
      <c r="L38" s="26">
        <v>1000</v>
      </c>
      <c r="M38" s="26">
        <v>20</v>
      </c>
      <c r="N38" s="26"/>
      <c r="O38" s="26"/>
      <c r="P38" s="26"/>
      <c r="Q38" s="26"/>
      <c r="R38" s="26"/>
      <c r="S38" s="26"/>
      <c r="T38" s="26"/>
      <c r="U38" s="26">
        <v>1673</v>
      </c>
      <c r="V38" s="26"/>
      <c r="W38" s="35"/>
      <c r="X38" s="36"/>
      <c r="Y38" s="36"/>
      <c r="Z38" s="36"/>
      <c r="AA38" s="62">
        <f t="shared" si="6"/>
        <v>2613</v>
      </c>
      <c r="AB38" s="63"/>
      <c r="AC38" s="63"/>
      <c r="AD38" s="63"/>
      <c r="AE38" s="65"/>
      <c r="AF38" s="65"/>
      <c r="AG38" s="65"/>
      <c r="AH38" s="65"/>
      <c r="AI38" s="65">
        <f t="shared" si="7"/>
        <v>2613</v>
      </c>
      <c r="AJ38" s="65">
        <v>1000</v>
      </c>
      <c r="AK38" s="65">
        <v>20</v>
      </c>
      <c r="AL38" s="65"/>
      <c r="AM38" s="65"/>
      <c r="AN38" s="65"/>
      <c r="AO38" s="65"/>
      <c r="AP38" s="65"/>
      <c r="AQ38" s="65"/>
      <c r="AR38" s="65"/>
      <c r="AS38" s="65">
        <v>1593</v>
      </c>
      <c r="AT38" s="65"/>
      <c r="AU38" s="65"/>
      <c r="AV38" s="65"/>
      <c r="AW38" s="65"/>
      <c r="AX38" s="65">
        <v>0</v>
      </c>
      <c r="AY38" s="65"/>
      <c r="AZ38" s="65"/>
      <c r="BA38" s="65"/>
      <c r="BB38" s="32"/>
    </row>
    <row r="39" spans="1:54" s="31" customFormat="1" ht="24" customHeight="1">
      <c r="A39" s="24">
        <v>26</v>
      </c>
      <c r="B39" s="33" t="s">
        <v>979</v>
      </c>
      <c r="C39" s="26">
        <f t="shared" si="4"/>
        <v>4041</v>
      </c>
      <c r="D39" s="26">
        <f t="shared" si="8"/>
        <v>0</v>
      </c>
      <c r="E39" s="26"/>
      <c r="F39" s="26"/>
      <c r="G39" s="26"/>
      <c r="H39" s="26"/>
      <c r="I39" s="26"/>
      <c r="J39" s="26"/>
      <c r="K39" s="26">
        <f t="shared" si="5"/>
        <v>4041</v>
      </c>
      <c r="L39" s="26"/>
      <c r="M39" s="26"/>
      <c r="N39" s="26"/>
      <c r="O39" s="26"/>
      <c r="P39" s="26"/>
      <c r="Q39" s="26"/>
      <c r="R39" s="26"/>
      <c r="S39" s="26"/>
      <c r="T39" s="26"/>
      <c r="U39" s="26">
        <v>4041</v>
      </c>
      <c r="V39" s="26"/>
      <c r="W39" s="35"/>
      <c r="X39" s="36"/>
      <c r="Y39" s="36"/>
      <c r="Z39" s="36"/>
      <c r="AA39" s="62">
        <f t="shared" si="6"/>
        <v>38693.4</v>
      </c>
      <c r="AB39" s="63"/>
      <c r="AC39" s="63"/>
      <c r="AD39" s="63"/>
      <c r="AE39" s="65"/>
      <c r="AF39" s="65"/>
      <c r="AG39" s="65"/>
      <c r="AH39" s="65"/>
      <c r="AI39" s="65">
        <f t="shared" si="7"/>
        <v>4201.87</v>
      </c>
      <c r="AJ39" s="65"/>
      <c r="AK39" s="65"/>
      <c r="AL39" s="65"/>
      <c r="AM39" s="65"/>
      <c r="AN39" s="65"/>
      <c r="AO39" s="65"/>
      <c r="AP39" s="65"/>
      <c r="AQ39" s="65"/>
      <c r="AR39" s="65"/>
      <c r="AS39" s="65">
        <v>4201.87</v>
      </c>
      <c r="AT39" s="65"/>
      <c r="AU39" s="65"/>
      <c r="AV39" s="65"/>
      <c r="AW39" s="65"/>
      <c r="AX39" s="65">
        <v>0</v>
      </c>
      <c r="AY39" s="65"/>
      <c r="AZ39" s="65"/>
      <c r="BA39" s="65">
        <f>2455.52+32036.01</f>
        <v>34491.53</v>
      </c>
      <c r="BB39" s="30"/>
    </row>
    <row r="40" spans="1:54" s="31" customFormat="1" ht="24" customHeight="1">
      <c r="A40" s="24">
        <v>27</v>
      </c>
      <c r="B40" s="33" t="s">
        <v>980</v>
      </c>
      <c r="C40" s="26">
        <f t="shared" si="4"/>
        <v>8287</v>
      </c>
      <c r="D40" s="26">
        <f t="shared" si="8"/>
        <v>0</v>
      </c>
      <c r="E40" s="26"/>
      <c r="F40" s="26"/>
      <c r="G40" s="26"/>
      <c r="H40" s="26"/>
      <c r="I40" s="26"/>
      <c r="J40" s="26"/>
      <c r="K40" s="26">
        <f t="shared" si="5"/>
        <v>8237</v>
      </c>
      <c r="L40" s="26"/>
      <c r="M40" s="26">
        <v>20</v>
      </c>
      <c r="N40" s="26"/>
      <c r="O40" s="26"/>
      <c r="P40" s="26"/>
      <c r="Q40" s="26"/>
      <c r="R40" s="26">
        <v>1223</v>
      </c>
      <c r="S40" s="26"/>
      <c r="T40" s="26"/>
      <c r="U40" s="26">
        <v>6994</v>
      </c>
      <c r="V40" s="26"/>
      <c r="W40" s="35"/>
      <c r="X40" s="34">
        <v>50</v>
      </c>
      <c r="Y40" s="36"/>
      <c r="Z40" s="36"/>
      <c r="AA40" s="62">
        <f t="shared" si="6"/>
        <v>8733.48</v>
      </c>
      <c r="AB40" s="63"/>
      <c r="AC40" s="63"/>
      <c r="AD40" s="63"/>
      <c r="AE40" s="65"/>
      <c r="AF40" s="65"/>
      <c r="AG40" s="65"/>
      <c r="AH40" s="65"/>
      <c r="AI40" s="65">
        <f t="shared" si="7"/>
        <v>8683.48</v>
      </c>
      <c r="AJ40" s="65"/>
      <c r="AK40" s="65">
        <v>20</v>
      </c>
      <c r="AL40" s="65"/>
      <c r="AM40" s="65"/>
      <c r="AN40" s="65"/>
      <c r="AO40" s="65"/>
      <c r="AP40" s="65">
        <v>1299</v>
      </c>
      <c r="AQ40" s="65"/>
      <c r="AR40" s="65"/>
      <c r="AS40" s="65">
        <f>5384+1980.48</f>
        <v>7364.48</v>
      </c>
      <c r="AT40" s="65"/>
      <c r="AU40" s="65"/>
      <c r="AV40" s="65"/>
      <c r="AW40" s="65"/>
      <c r="AX40" s="65">
        <v>0</v>
      </c>
      <c r="AY40" s="65">
        <v>50</v>
      </c>
      <c r="AZ40" s="65"/>
      <c r="BA40" s="65"/>
      <c r="BB40" s="32"/>
    </row>
    <row r="41" spans="1:54" s="31" customFormat="1" ht="24" customHeight="1">
      <c r="A41" s="24">
        <v>28</v>
      </c>
      <c r="B41" s="33" t="s">
        <v>981</v>
      </c>
      <c r="C41" s="26">
        <f t="shared" si="4"/>
        <v>9938</v>
      </c>
      <c r="D41" s="26">
        <f t="shared" si="8"/>
        <v>0</v>
      </c>
      <c r="E41" s="26"/>
      <c r="F41" s="26"/>
      <c r="G41" s="26"/>
      <c r="H41" s="26"/>
      <c r="I41" s="26"/>
      <c r="J41" s="26"/>
      <c r="K41" s="26">
        <f t="shared" si="5"/>
        <v>4562</v>
      </c>
      <c r="L41" s="26"/>
      <c r="M41" s="26"/>
      <c r="N41" s="26"/>
      <c r="O41" s="26"/>
      <c r="P41" s="26"/>
      <c r="Q41" s="26"/>
      <c r="R41" s="26"/>
      <c r="S41" s="26"/>
      <c r="T41" s="26"/>
      <c r="U41" s="26">
        <v>4562</v>
      </c>
      <c r="V41" s="26"/>
      <c r="W41" s="35"/>
      <c r="X41" s="36">
        <v>40</v>
      </c>
      <c r="Y41" s="36"/>
      <c r="Z41" s="647">
        <v>5336</v>
      </c>
      <c r="AA41" s="62">
        <f t="shared" si="6"/>
        <v>20259.84</v>
      </c>
      <c r="AB41" s="63"/>
      <c r="AC41" s="63"/>
      <c r="AD41" s="63"/>
      <c r="AE41" s="65"/>
      <c r="AF41" s="65"/>
      <c r="AG41" s="65"/>
      <c r="AH41" s="65"/>
      <c r="AI41" s="65">
        <f t="shared" si="7"/>
        <v>5483.8</v>
      </c>
      <c r="AJ41" s="65"/>
      <c r="AK41" s="65"/>
      <c r="AL41" s="65"/>
      <c r="AM41" s="65"/>
      <c r="AN41" s="65"/>
      <c r="AO41" s="65"/>
      <c r="AP41" s="65"/>
      <c r="AQ41" s="65"/>
      <c r="AR41" s="65">
        <v>823.8</v>
      </c>
      <c r="AS41" s="65">
        <v>4660</v>
      </c>
      <c r="AT41" s="65"/>
      <c r="AU41" s="65"/>
      <c r="AV41" s="65"/>
      <c r="AW41" s="65"/>
      <c r="AX41" s="65">
        <v>0</v>
      </c>
      <c r="AY41" s="65">
        <v>40</v>
      </c>
      <c r="AZ41" s="65"/>
      <c r="BA41" s="65">
        <f>20+1822.06+12893.98</f>
        <v>14736.039999999999</v>
      </c>
      <c r="BB41" s="30"/>
    </row>
    <row r="42" spans="1:54" s="31" customFormat="1" ht="24" customHeight="1">
      <c r="A42" s="24">
        <v>29</v>
      </c>
      <c r="B42" s="33" t="s">
        <v>982</v>
      </c>
      <c r="C42" s="26">
        <f t="shared" si="4"/>
        <v>45737</v>
      </c>
      <c r="D42" s="26">
        <f t="shared" si="8"/>
        <v>8396</v>
      </c>
      <c r="E42" s="26">
        <v>8396</v>
      </c>
      <c r="F42" s="26"/>
      <c r="G42" s="26"/>
      <c r="H42" s="26"/>
      <c r="I42" s="26"/>
      <c r="J42" s="26"/>
      <c r="K42" s="26">
        <f t="shared" si="5"/>
        <v>25580</v>
      </c>
      <c r="L42" s="26"/>
      <c r="M42" s="26"/>
      <c r="N42" s="26"/>
      <c r="O42" s="26">
        <v>3300</v>
      </c>
      <c r="P42" s="26"/>
      <c r="Q42" s="26"/>
      <c r="R42" s="26"/>
      <c r="S42" s="26"/>
      <c r="T42" s="26"/>
      <c r="U42" s="26"/>
      <c r="V42" s="26">
        <v>22280</v>
      </c>
      <c r="W42" s="35"/>
      <c r="X42" s="36"/>
      <c r="Y42" s="36"/>
      <c r="Z42" s="649">
        <v>11761</v>
      </c>
      <c r="AA42" s="62">
        <f t="shared" si="6"/>
        <v>46632.75</v>
      </c>
      <c r="AB42" s="63">
        <f>SUM(AC42,AH42)</f>
        <v>8396</v>
      </c>
      <c r="AC42" s="63">
        <f>SUM(AD42:AE42)</f>
        <v>8396</v>
      </c>
      <c r="AD42" s="63">
        <v>8396</v>
      </c>
      <c r="AE42" s="65"/>
      <c r="AF42" s="65"/>
      <c r="AG42" s="65"/>
      <c r="AH42" s="65"/>
      <c r="AI42" s="65">
        <f t="shared" si="7"/>
        <v>29829.86</v>
      </c>
      <c r="AJ42" s="65"/>
      <c r="AK42" s="65"/>
      <c r="AL42" s="65"/>
      <c r="AM42" s="65">
        <f>2254+1494.72</f>
        <v>3748.7200000000003</v>
      </c>
      <c r="AN42" s="65"/>
      <c r="AO42" s="65"/>
      <c r="AP42" s="65"/>
      <c r="AQ42" s="65"/>
      <c r="AR42" s="65"/>
      <c r="AS42" s="65"/>
      <c r="AT42" s="65">
        <f>23590+2491.14</f>
        <v>26081.14</v>
      </c>
      <c r="AU42" s="65">
        <v>0</v>
      </c>
      <c r="AV42" s="65">
        <v>0</v>
      </c>
      <c r="AW42" s="65"/>
      <c r="AX42" s="65">
        <v>0</v>
      </c>
      <c r="AY42" s="65"/>
      <c r="AZ42" s="65"/>
      <c r="BA42" s="65">
        <f>226.54+8180.35</f>
        <v>8406.890000000001</v>
      </c>
      <c r="BB42" s="30"/>
    </row>
    <row r="43" spans="1:54" s="31" customFormat="1" ht="24" customHeight="1">
      <c r="A43" s="24">
        <v>30</v>
      </c>
      <c r="B43" s="33" t="s">
        <v>991</v>
      </c>
      <c r="C43" s="26">
        <f t="shared" si="4"/>
        <v>6899</v>
      </c>
      <c r="D43" s="26">
        <f t="shared" si="8"/>
        <v>0</v>
      </c>
      <c r="E43" s="26"/>
      <c r="F43" s="26"/>
      <c r="G43" s="26"/>
      <c r="H43" s="26"/>
      <c r="I43" s="26"/>
      <c r="J43" s="26"/>
      <c r="K43" s="26">
        <f t="shared" si="5"/>
        <v>6579</v>
      </c>
      <c r="L43" s="26">
        <v>1696</v>
      </c>
      <c r="M43" s="26"/>
      <c r="N43" s="26"/>
      <c r="O43" s="26"/>
      <c r="P43" s="26"/>
      <c r="Q43" s="26"/>
      <c r="R43" s="26"/>
      <c r="S43" s="26"/>
      <c r="T43" s="26"/>
      <c r="U43" s="26">
        <v>4883</v>
      </c>
      <c r="V43" s="26"/>
      <c r="W43" s="35"/>
      <c r="X43" s="36">
        <v>320</v>
      </c>
      <c r="Y43" s="36"/>
      <c r="Z43" s="36"/>
      <c r="AA43" s="62">
        <f t="shared" si="6"/>
        <v>8855.88</v>
      </c>
      <c r="AB43" s="63">
        <f>SUM(AC43,AH43)</f>
        <v>30</v>
      </c>
      <c r="AC43" s="63">
        <f>SUM(AD43:AE43)</f>
        <v>30</v>
      </c>
      <c r="AD43" s="63">
        <v>30</v>
      </c>
      <c r="AE43" s="65"/>
      <c r="AF43" s="65"/>
      <c r="AG43" s="65"/>
      <c r="AH43" s="65"/>
      <c r="AI43" s="65">
        <f t="shared" si="7"/>
        <v>7021.37</v>
      </c>
      <c r="AJ43" s="65">
        <v>1942.43</v>
      </c>
      <c r="AK43" s="65"/>
      <c r="AL43" s="65"/>
      <c r="AM43" s="65"/>
      <c r="AN43" s="65"/>
      <c r="AO43" s="65"/>
      <c r="AP43" s="65"/>
      <c r="AQ43" s="65"/>
      <c r="AR43" s="65"/>
      <c r="AS43" s="65">
        <v>5078.94</v>
      </c>
      <c r="AT43" s="65"/>
      <c r="AU43" s="65">
        <v>0</v>
      </c>
      <c r="AV43" s="65">
        <v>0</v>
      </c>
      <c r="AW43" s="65"/>
      <c r="AX43" s="65">
        <v>0</v>
      </c>
      <c r="AY43" s="65">
        <f>199.94+120+1484.57</f>
        <v>1804.51</v>
      </c>
      <c r="AZ43" s="65"/>
      <c r="BA43" s="65"/>
      <c r="BB43" s="32"/>
    </row>
    <row r="44" spans="1:54" s="31" customFormat="1" ht="24" customHeight="1">
      <c r="A44" s="24">
        <v>31</v>
      </c>
      <c r="B44" s="33" t="s">
        <v>992</v>
      </c>
      <c r="C44" s="26">
        <f t="shared" si="4"/>
        <v>60</v>
      </c>
      <c r="D44" s="26">
        <f t="shared" si="8"/>
        <v>0</v>
      </c>
      <c r="E44" s="26"/>
      <c r="F44" s="26"/>
      <c r="G44" s="26"/>
      <c r="H44" s="26"/>
      <c r="I44" s="26"/>
      <c r="J44" s="26"/>
      <c r="K44" s="26">
        <f t="shared" si="5"/>
        <v>20</v>
      </c>
      <c r="L44" s="26"/>
      <c r="M44" s="26">
        <v>20</v>
      </c>
      <c r="N44" s="26"/>
      <c r="O44" s="26"/>
      <c r="P44" s="26"/>
      <c r="Q44" s="26"/>
      <c r="R44" s="26"/>
      <c r="S44" s="26"/>
      <c r="T44" s="26"/>
      <c r="U44" s="26"/>
      <c r="V44" s="26"/>
      <c r="W44" s="35"/>
      <c r="X44" s="36">
        <v>40</v>
      </c>
      <c r="Y44" s="36"/>
      <c r="Z44" s="36"/>
      <c r="AA44" s="62">
        <f t="shared" si="6"/>
        <v>60</v>
      </c>
      <c r="AB44" s="63"/>
      <c r="AC44" s="63"/>
      <c r="AD44" s="63"/>
      <c r="AE44" s="65"/>
      <c r="AF44" s="65"/>
      <c r="AG44" s="65"/>
      <c r="AH44" s="65"/>
      <c r="AI44" s="65">
        <f t="shared" si="7"/>
        <v>20</v>
      </c>
      <c r="AJ44" s="65"/>
      <c r="AK44" s="65">
        <v>20</v>
      </c>
      <c r="AL44" s="65"/>
      <c r="AM44" s="65"/>
      <c r="AN44" s="65"/>
      <c r="AO44" s="65"/>
      <c r="AP44" s="65"/>
      <c r="AQ44" s="65"/>
      <c r="AR44" s="65"/>
      <c r="AS44" s="65"/>
      <c r="AT44" s="65"/>
      <c r="AU44" s="65">
        <v>0</v>
      </c>
      <c r="AV44" s="65">
        <v>0</v>
      </c>
      <c r="AW44" s="65"/>
      <c r="AX44" s="65">
        <v>0</v>
      </c>
      <c r="AY44" s="65">
        <v>40</v>
      </c>
      <c r="AZ44" s="65"/>
      <c r="BA44" s="65"/>
      <c r="BB44" s="32"/>
    </row>
    <row r="45" spans="1:54" s="31" customFormat="1" ht="24" customHeight="1">
      <c r="A45" s="24">
        <v>32</v>
      </c>
      <c r="B45" s="33" t="s">
        <v>993</v>
      </c>
      <c r="C45" s="26">
        <f t="shared" si="4"/>
        <v>50315</v>
      </c>
      <c r="D45" s="26">
        <f t="shared" si="8"/>
        <v>2874</v>
      </c>
      <c r="E45" s="26">
        <v>2874</v>
      </c>
      <c r="F45" s="26"/>
      <c r="G45" s="26"/>
      <c r="H45" s="26"/>
      <c r="I45" s="26"/>
      <c r="J45" s="26"/>
      <c r="K45" s="26">
        <f t="shared" si="5"/>
        <v>45570</v>
      </c>
      <c r="L45" s="26">
        <v>1506</v>
      </c>
      <c r="M45" s="26">
        <v>50</v>
      </c>
      <c r="N45" s="26"/>
      <c r="O45" s="26"/>
      <c r="P45" s="26"/>
      <c r="Q45" s="26"/>
      <c r="R45" s="26">
        <v>36739</v>
      </c>
      <c r="S45" s="26"/>
      <c r="T45" s="26"/>
      <c r="U45" s="26">
        <v>7275</v>
      </c>
      <c r="V45" s="26"/>
      <c r="W45" s="35"/>
      <c r="X45" s="36">
        <v>1856</v>
      </c>
      <c r="Y45" s="36"/>
      <c r="Z45" s="648">
        <v>15</v>
      </c>
      <c r="AA45" s="62">
        <f t="shared" si="6"/>
        <v>75897.82</v>
      </c>
      <c r="AB45" s="63">
        <f>SUM(AC45,AH45)</f>
        <v>3289.11</v>
      </c>
      <c r="AC45" s="63">
        <f>SUM(AD45:AE45)</f>
        <v>3289.11</v>
      </c>
      <c r="AD45" s="63">
        <v>3289.11</v>
      </c>
      <c r="AE45" s="65"/>
      <c r="AF45" s="65"/>
      <c r="AG45" s="65"/>
      <c r="AH45" s="65"/>
      <c r="AI45" s="65">
        <f t="shared" si="7"/>
        <v>50034.26</v>
      </c>
      <c r="AJ45" s="65">
        <v>1520</v>
      </c>
      <c r="AK45" s="65">
        <v>50</v>
      </c>
      <c r="AL45" s="65"/>
      <c r="AM45" s="65"/>
      <c r="AN45" s="65"/>
      <c r="AO45" s="65"/>
      <c r="AP45" s="65">
        <f>35442.66+5872</f>
        <v>41314.66</v>
      </c>
      <c r="AQ45" s="65"/>
      <c r="AR45" s="65"/>
      <c r="AS45" s="65">
        <v>7149.6</v>
      </c>
      <c r="AT45" s="65"/>
      <c r="AU45" s="65">
        <v>0</v>
      </c>
      <c r="AV45" s="65">
        <v>0</v>
      </c>
      <c r="AW45" s="65"/>
      <c r="AX45" s="65">
        <v>0</v>
      </c>
      <c r="AY45" s="65">
        <f>816+40+918.93</f>
        <v>1774.9299999999998</v>
      </c>
      <c r="AZ45" s="65"/>
      <c r="BA45" s="65">
        <f>15+20784.52</f>
        <v>20799.52</v>
      </c>
      <c r="BB45" s="32"/>
    </row>
    <row r="46" spans="1:54" s="31" customFormat="1" ht="24" customHeight="1">
      <c r="A46" s="24">
        <v>33</v>
      </c>
      <c r="B46" s="33" t="s">
        <v>994</v>
      </c>
      <c r="C46" s="26">
        <f aca="true" t="shared" si="13" ref="C46:C66">D46+K46+X46+Y46+Z46</f>
        <v>17413</v>
      </c>
      <c r="D46" s="26">
        <f t="shared" si="8"/>
        <v>0</v>
      </c>
      <c r="E46" s="26"/>
      <c r="F46" s="26"/>
      <c r="G46" s="26"/>
      <c r="H46" s="26"/>
      <c r="I46" s="26"/>
      <c r="J46" s="26"/>
      <c r="K46" s="26">
        <f aca="true" t="shared" si="14" ref="K46:K66">SUM(L46:W46)</f>
        <v>10413</v>
      </c>
      <c r="L46" s="26"/>
      <c r="M46" s="26"/>
      <c r="N46" s="26"/>
      <c r="O46" s="26">
        <v>10413</v>
      </c>
      <c r="P46" s="26"/>
      <c r="Q46" s="26"/>
      <c r="R46" s="26"/>
      <c r="S46" s="26"/>
      <c r="T46" s="26"/>
      <c r="U46" s="26"/>
      <c r="V46" s="26"/>
      <c r="W46" s="35"/>
      <c r="X46" s="36">
        <v>7000</v>
      </c>
      <c r="Y46" s="36"/>
      <c r="Z46" s="36"/>
      <c r="AA46" s="62">
        <f aca="true" t="shared" si="15" ref="AA46:AA67">SUM(AB46,AI46,AY46:BA46)</f>
        <v>12056.29</v>
      </c>
      <c r="AB46" s="63">
        <f>SUM(AC46,AH46)</f>
        <v>0</v>
      </c>
      <c r="AC46" s="63">
        <f>SUM(AD46:AE46)</f>
        <v>0</v>
      </c>
      <c r="AD46" s="63"/>
      <c r="AE46" s="65"/>
      <c r="AF46" s="65"/>
      <c r="AG46" s="65"/>
      <c r="AH46" s="65"/>
      <c r="AI46" s="65">
        <f aca="true" t="shared" si="16" ref="AI46:AI66">SUM(AJ46:AW46)</f>
        <v>11921.35</v>
      </c>
      <c r="AJ46" s="65"/>
      <c r="AK46" s="65"/>
      <c r="AL46" s="65"/>
      <c r="AM46" s="65">
        <v>11921.35</v>
      </c>
      <c r="AN46" s="65"/>
      <c r="AO46" s="65"/>
      <c r="AP46" s="65"/>
      <c r="AQ46" s="65"/>
      <c r="AR46" s="65"/>
      <c r="AS46" s="65"/>
      <c r="AT46" s="65"/>
      <c r="AU46" s="65">
        <v>0</v>
      </c>
      <c r="AV46" s="65">
        <v>0</v>
      </c>
      <c r="AW46" s="65"/>
      <c r="AX46" s="65">
        <v>0</v>
      </c>
      <c r="AY46" s="65">
        <v>134.94</v>
      </c>
      <c r="AZ46" s="65"/>
      <c r="BA46" s="65"/>
      <c r="BB46" s="30"/>
    </row>
    <row r="47" spans="1:54" s="31" customFormat="1" ht="24" customHeight="1">
      <c r="A47" s="24">
        <v>34</v>
      </c>
      <c r="B47" s="33" t="s">
        <v>995</v>
      </c>
      <c r="C47" s="26">
        <f t="shared" si="13"/>
        <v>0</v>
      </c>
      <c r="D47" s="26">
        <f t="shared" si="8"/>
        <v>0</v>
      </c>
      <c r="E47" s="26"/>
      <c r="F47" s="26"/>
      <c r="G47" s="26"/>
      <c r="H47" s="26"/>
      <c r="I47" s="26"/>
      <c r="J47" s="26"/>
      <c r="K47" s="26">
        <f t="shared" si="14"/>
        <v>0</v>
      </c>
      <c r="L47" s="26"/>
      <c r="M47" s="26"/>
      <c r="N47" s="26"/>
      <c r="O47" s="26"/>
      <c r="P47" s="26"/>
      <c r="Q47" s="26"/>
      <c r="R47" s="26"/>
      <c r="S47" s="26"/>
      <c r="T47" s="26"/>
      <c r="U47" s="26"/>
      <c r="V47" s="26"/>
      <c r="W47" s="35"/>
      <c r="X47" s="36"/>
      <c r="Y47" s="36"/>
      <c r="Z47" s="36"/>
      <c r="AA47" s="62">
        <f t="shared" si="15"/>
        <v>266857.08999999997</v>
      </c>
      <c r="AB47" s="63"/>
      <c r="AC47" s="63"/>
      <c r="AD47" s="63"/>
      <c r="AE47" s="65"/>
      <c r="AF47" s="65"/>
      <c r="AG47" s="65"/>
      <c r="AH47" s="65"/>
      <c r="AI47" s="65">
        <f t="shared" si="16"/>
        <v>266857.08999999997</v>
      </c>
      <c r="AJ47" s="65"/>
      <c r="AK47" s="65"/>
      <c r="AL47" s="65"/>
      <c r="AM47" s="65"/>
      <c r="AN47" s="65">
        <v>266832.68</v>
      </c>
      <c r="AO47" s="65"/>
      <c r="AP47" s="65"/>
      <c r="AQ47" s="65"/>
      <c r="AR47" s="65"/>
      <c r="AS47" s="65"/>
      <c r="AT47" s="65"/>
      <c r="AU47" s="65">
        <v>0</v>
      </c>
      <c r="AV47" s="65">
        <v>0</v>
      </c>
      <c r="AW47" s="65">
        <v>24.41</v>
      </c>
      <c r="AX47" s="65">
        <v>0</v>
      </c>
      <c r="AY47" s="65"/>
      <c r="AZ47" s="65"/>
      <c r="BA47" s="65"/>
      <c r="BB47" s="32"/>
    </row>
    <row r="48" spans="1:54" s="31" customFormat="1" ht="24" customHeight="1">
      <c r="A48" s="24">
        <v>35</v>
      </c>
      <c r="B48" s="33" t="s">
        <v>996</v>
      </c>
      <c r="C48" s="26">
        <f t="shared" si="13"/>
        <v>646</v>
      </c>
      <c r="D48" s="26">
        <f aca="true" t="shared" si="17" ref="D48:D66">SUM(E48,J48)</f>
        <v>0</v>
      </c>
      <c r="E48" s="26"/>
      <c r="F48" s="26"/>
      <c r="G48" s="26"/>
      <c r="H48" s="26"/>
      <c r="I48" s="26"/>
      <c r="J48" s="26"/>
      <c r="K48" s="26">
        <f t="shared" si="14"/>
        <v>646</v>
      </c>
      <c r="L48" s="26"/>
      <c r="M48" s="26"/>
      <c r="N48" s="26"/>
      <c r="O48" s="26"/>
      <c r="P48" s="26"/>
      <c r="Q48" s="26"/>
      <c r="R48" s="26"/>
      <c r="S48" s="26"/>
      <c r="T48" s="26"/>
      <c r="U48" s="26">
        <v>646</v>
      </c>
      <c r="V48" s="26"/>
      <c r="W48" s="35"/>
      <c r="X48" s="36"/>
      <c r="Y48" s="36"/>
      <c r="Z48" s="36"/>
      <c r="AA48" s="62">
        <f t="shared" si="15"/>
        <v>938.21</v>
      </c>
      <c r="AB48" s="63"/>
      <c r="AC48" s="63"/>
      <c r="AD48" s="63"/>
      <c r="AE48" s="65"/>
      <c r="AF48" s="65"/>
      <c r="AG48" s="65"/>
      <c r="AH48" s="65"/>
      <c r="AI48" s="65">
        <f t="shared" si="16"/>
        <v>938.21</v>
      </c>
      <c r="AJ48" s="65"/>
      <c r="AK48" s="65"/>
      <c r="AL48" s="65"/>
      <c r="AM48" s="65"/>
      <c r="AN48" s="65"/>
      <c r="AO48" s="65"/>
      <c r="AP48" s="65"/>
      <c r="AQ48" s="65"/>
      <c r="AR48" s="65"/>
      <c r="AS48" s="65">
        <v>938.21</v>
      </c>
      <c r="AT48" s="65"/>
      <c r="AU48" s="65">
        <v>0</v>
      </c>
      <c r="AV48" s="65">
        <v>0</v>
      </c>
      <c r="AW48" s="65"/>
      <c r="AX48" s="65">
        <v>0</v>
      </c>
      <c r="AY48" s="65"/>
      <c r="AZ48" s="65"/>
      <c r="BA48" s="65"/>
      <c r="BB48" s="32"/>
    </row>
    <row r="49" spans="1:54" s="31" customFormat="1" ht="24" customHeight="1">
      <c r="A49" s="24">
        <v>36</v>
      </c>
      <c r="B49" s="33" t="s">
        <v>997</v>
      </c>
      <c r="C49" s="26">
        <f t="shared" si="13"/>
        <v>72</v>
      </c>
      <c r="D49" s="26">
        <f t="shared" si="17"/>
        <v>0</v>
      </c>
      <c r="E49" s="26"/>
      <c r="F49" s="26"/>
      <c r="G49" s="26"/>
      <c r="H49" s="26"/>
      <c r="I49" s="26"/>
      <c r="J49" s="26"/>
      <c r="K49" s="26">
        <f t="shared" si="14"/>
        <v>72</v>
      </c>
      <c r="L49" s="26"/>
      <c r="M49" s="26">
        <v>72</v>
      </c>
      <c r="N49" s="26"/>
      <c r="O49" s="26"/>
      <c r="P49" s="26"/>
      <c r="Q49" s="26"/>
      <c r="R49" s="26"/>
      <c r="S49" s="26"/>
      <c r="T49" s="26"/>
      <c r="U49" s="26"/>
      <c r="V49" s="26"/>
      <c r="W49" s="35"/>
      <c r="X49" s="36"/>
      <c r="Y49" s="36"/>
      <c r="Z49" s="36"/>
      <c r="AA49" s="62">
        <f t="shared" si="15"/>
        <v>75</v>
      </c>
      <c r="AB49" s="63"/>
      <c r="AC49" s="63"/>
      <c r="AD49" s="63"/>
      <c r="AE49" s="65"/>
      <c r="AF49" s="65"/>
      <c r="AG49" s="65"/>
      <c r="AH49" s="65"/>
      <c r="AI49" s="65">
        <f t="shared" si="16"/>
        <v>75</v>
      </c>
      <c r="AJ49" s="65"/>
      <c r="AK49" s="65">
        <v>75</v>
      </c>
      <c r="AL49" s="65"/>
      <c r="AM49" s="65"/>
      <c r="AN49" s="65"/>
      <c r="AO49" s="65"/>
      <c r="AP49" s="65"/>
      <c r="AQ49" s="65"/>
      <c r="AR49" s="65"/>
      <c r="AS49" s="65"/>
      <c r="AT49" s="65"/>
      <c r="AU49" s="65">
        <v>0</v>
      </c>
      <c r="AV49" s="65">
        <v>0</v>
      </c>
      <c r="AW49" s="65"/>
      <c r="AX49" s="65">
        <v>0</v>
      </c>
      <c r="AY49" s="65"/>
      <c r="AZ49" s="65"/>
      <c r="BA49" s="65"/>
      <c r="BB49" s="32"/>
    </row>
    <row r="50" spans="1:54" s="31" customFormat="1" ht="24" customHeight="1">
      <c r="A50" s="24">
        <v>40</v>
      </c>
      <c r="B50" s="33" t="s">
        <v>998</v>
      </c>
      <c r="C50" s="26">
        <f t="shared" si="13"/>
        <v>83554</v>
      </c>
      <c r="D50" s="26">
        <f t="shared" si="17"/>
        <v>83554</v>
      </c>
      <c r="E50" s="26">
        <v>83554</v>
      </c>
      <c r="F50" s="26"/>
      <c r="G50" s="26"/>
      <c r="H50" s="26"/>
      <c r="I50" s="26"/>
      <c r="J50" s="26"/>
      <c r="K50" s="26">
        <f t="shared" si="14"/>
        <v>0</v>
      </c>
      <c r="L50" s="26"/>
      <c r="M50" s="26"/>
      <c r="N50" s="26"/>
      <c r="O50" s="26"/>
      <c r="P50" s="26"/>
      <c r="Q50" s="26"/>
      <c r="R50" s="26"/>
      <c r="S50" s="26"/>
      <c r="T50" s="26"/>
      <c r="U50" s="26"/>
      <c r="V50" s="26"/>
      <c r="W50" s="35"/>
      <c r="X50" s="36"/>
      <c r="Y50" s="36"/>
      <c r="Z50" s="36"/>
      <c r="AA50" s="62">
        <f t="shared" si="15"/>
        <v>83534.61</v>
      </c>
      <c r="AB50" s="63">
        <f aca="true" t="shared" si="18" ref="AB50:AB60">SUM(AC50,AH50)</f>
        <v>83534.61</v>
      </c>
      <c r="AC50" s="63">
        <f>SUM(AD50:AE50)</f>
        <v>0</v>
      </c>
      <c r="AD50" s="63"/>
      <c r="AE50" s="65"/>
      <c r="AF50" s="65"/>
      <c r="AG50" s="65"/>
      <c r="AH50" s="65">
        <v>83534.61</v>
      </c>
      <c r="AI50" s="65">
        <f t="shared" si="16"/>
        <v>0</v>
      </c>
      <c r="AJ50" s="65"/>
      <c r="AK50" s="65"/>
      <c r="AL50" s="65"/>
      <c r="AM50" s="65"/>
      <c r="AN50" s="65"/>
      <c r="AO50" s="65"/>
      <c r="AP50" s="65"/>
      <c r="AQ50" s="65"/>
      <c r="AR50" s="65"/>
      <c r="AS50" s="65"/>
      <c r="AT50" s="65"/>
      <c r="AU50" s="65">
        <v>0</v>
      </c>
      <c r="AV50" s="65">
        <v>0</v>
      </c>
      <c r="AW50" s="65"/>
      <c r="AX50" s="65"/>
      <c r="AY50" s="65"/>
      <c r="AZ50" s="65"/>
      <c r="BA50" s="65"/>
      <c r="BB50" s="32"/>
    </row>
    <row r="51" spans="1:54" s="31" customFormat="1" ht="24" customHeight="1">
      <c r="A51" s="24">
        <v>41</v>
      </c>
      <c r="B51" s="33" t="s">
        <v>938</v>
      </c>
      <c r="C51" s="26">
        <f t="shared" si="13"/>
        <v>0</v>
      </c>
      <c r="D51" s="26">
        <f t="shared" si="17"/>
        <v>0</v>
      </c>
      <c r="E51" s="26"/>
      <c r="F51" s="26"/>
      <c r="G51" s="26"/>
      <c r="H51" s="26"/>
      <c r="I51" s="26"/>
      <c r="J51" s="26"/>
      <c r="K51" s="26">
        <f t="shared" si="14"/>
        <v>0</v>
      </c>
      <c r="L51" s="26"/>
      <c r="M51" s="26"/>
      <c r="N51" s="26"/>
      <c r="O51" s="26"/>
      <c r="P51" s="26"/>
      <c r="Q51" s="26"/>
      <c r="R51" s="26"/>
      <c r="S51" s="26"/>
      <c r="T51" s="26"/>
      <c r="U51" s="26"/>
      <c r="V51" s="26"/>
      <c r="W51" s="35"/>
      <c r="X51" s="36"/>
      <c r="Y51" s="36"/>
      <c r="Z51" s="36"/>
      <c r="AA51" s="62">
        <f t="shared" si="15"/>
        <v>50</v>
      </c>
      <c r="AB51" s="63">
        <f t="shared" si="18"/>
        <v>0</v>
      </c>
      <c r="AC51" s="63"/>
      <c r="AD51" s="62"/>
      <c r="AE51" s="68"/>
      <c r="AF51" s="68"/>
      <c r="AG51" s="68"/>
      <c r="AH51" s="68"/>
      <c r="AI51" s="65">
        <f t="shared" si="16"/>
        <v>50</v>
      </c>
      <c r="AJ51" s="65"/>
      <c r="AK51" s="65"/>
      <c r="AL51" s="65"/>
      <c r="AM51" s="65"/>
      <c r="AN51" s="65"/>
      <c r="AO51" s="65"/>
      <c r="AP51" s="65"/>
      <c r="AQ51" s="65"/>
      <c r="AR51" s="65"/>
      <c r="AS51" s="65"/>
      <c r="AT51" s="65"/>
      <c r="AU51" s="65">
        <v>0</v>
      </c>
      <c r="AV51" s="65">
        <v>0</v>
      </c>
      <c r="AW51" s="65">
        <v>50</v>
      </c>
      <c r="AX51" s="65"/>
      <c r="AY51" s="65"/>
      <c r="AZ51" s="65"/>
      <c r="BA51" s="65"/>
      <c r="BB51" s="32"/>
    </row>
    <row r="52" spans="1:54" s="31" customFormat="1" ht="24" customHeight="1">
      <c r="A52" s="24">
        <v>43</v>
      </c>
      <c r="B52" s="33" t="s">
        <v>999</v>
      </c>
      <c r="C52" s="26">
        <f t="shared" si="13"/>
        <v>574</v>
      </c>
      <c r="D52" s="26">
        <f t="shared" si="17"/>
        <v>574</v>
      </c>
      <c r="E52" s="26">
        <v>574</v>
      </c>
      <c r="F52" s="26"/>
      <c r="G52" s="26"/>
      <c r="H52" s="26"/>
      <c r="I52" s="26"/>
      <c r="J52" s="26"/>
      <c r="K52" s="26">
        <f t="shared" si="14"/>
        <v>0</v>
      </c>
      <c r="L52" s="26"/>
      <c r="M52" s="26"/>
      <c r="N52" s="26"/>
      <c r="O52" s="26"/>
      <c r="P52" s="26"/>
      <c r="Q52" s="26"/>
      <c r="R52" s="26"/>
      <c r="S52" s="26"/>
      <c r="T52" s="26"/>
      <c r="U52" s="26"/>
      <c r="V52" s="26"/>
      <c r="W52" s="35"/>
      <c r="X52" s="36"/>
      <c r="Y52" s="36"/>
      <c r="Z52" s="36"/>
      <c r="AA52" s="62">
        <f t="shared" si="15"/>
        <v>2536</v>
      </c>
      <c r="AB52" s="63">
        <f t="shared" si="18"/>
        <v>2041.05</v>
      </c>
      <c r="AC52" s="65">
        <f>SUM(AD52:AE52)</f>
        <v>2041.05</v>
      </c>
      <c r="AD52" s="68">
        <v>2041.05</v>
      </c>
      <c r="AE52" s="68"/>
      <c r="AF52" s="68"/>
      <c r="AG52" s="68"/>
      <c r="AH52" s="68"/>
      <c r="AI52" s="65">
        <f t="shared" si="16"/>
        <v>0</v>
      </c>
      <c r="AJ52" s="65"/>
      <c r="AK52" s="65"/>
      <c r="AL52" s="65"/>
      <c r="AM52" s="65"/>
      <c r="AN52" s="65"/>
      <c r="AO52" s="65"/>
      <c r="AP52" s="65"/>
      <c r="AQ52" s="65"/>
      <c r="AR52" s="65"/>
      <c r="AS52" s="65"/>
      <c r="AT52" s="65"/>
      <c r="AU52" s="65">
        <v>0</v>
      </c>
      <c r="AV52" s="65">
        <v>0</v>
      </c>
      <c r="AW52" s="65"/>
      <c r="AX52" s="65"/>
      <c r="AY52" s="65"/>
      <c r="AZ52" s="65"/>
      <c r="BA52" s="65">
        <v>494.95</v>
      </c>
      <c r="BB52" s="30"/>
    </row>
    <row r="53" spans="1:54" s="31" customFormat="1" ht="24" customHeight="1">
      <c r="A53" s="24">
        <v>45</v>
      </c>
      <c r="B53" s="33" t="s">
        <v>1000</v>
      </c>
      <c r="C53" s="26">
        <f t="shared" si="13"/>
        <v>1800</v>
      </c>
      <c r="D53" s="26">
        <f t="shared" si="17"/>
        <v>1800</v>
      </c>
      <c r="E53" s="26">
        <v>1800</v>
      </c>
      <c r="F53" s="26"/>
      <c r="G53" s="26"/>
      <c r="H53" s="26"/>
      <c r="I53" s="26"/>
      <c r="J53" s="26"/>
      <c r="K53" s="26">
        <f t="shared" si="14"/>
        <v>0</v>
      </c>
      <c r="L53" s="26"/>
      <c r="M53" s="26"/>
      <c r="N53" s="26"/>
      <c r="O53" s="26"/>
      <c r="P53" s="26"/>
      <c r="Q53" s="26"/>
      <c r="R53" s="26"/>
      <c r="S53" s="26"/>
      <c r="T53" s="26"/>
      <c r="U53" s="26"/>
      <c r="V53" s="26"/>
      <c r="W53" s="35"/>
      <c r="X53" s="36"/>
      <c r="Y53" s="36"/>
      <c r="Z53" s="36"/>
      <c r="AA53" s="62">
        <f t="shared" si="15"/>
        <v>3070.8900000000003</v>
      </c>
      <c r="AB53" s="63">
        <f t="shared" si="18"/>
        <v>1619.69</v>
      </c>
      <c r="AC53" s="65">
        <f aca="true" t="shared" si="19" ref="AC53:AC60">SUM(AD53:AE53)</f>
        <v>0</v>
      </c>
      <c r="AD53" s="68"/>
      <c r="AE53" s="68"/>
      <c r="AF53" s="68"/>
      <c r="AG53" s="68"/>
      <c r="AH53" s="68">
        <v>1619.69</v>
      </c>
      <c r="AI53" s="65">
        <f t="shared" si="16"/>
        <v>1441.69</v>
      </c>
      <c r="AJ53" s="65"/>
      <c r="AK53" s="65"/>
      <c r="AL53" s="65"/>
      <c r="AM53" s="65"/>
      <c r="AN53" s="65"/>
      <c r="AO53" s="65"/>
      <c r="AP53" s="65"/>
      <c r="AQ53" s="65"/>
      <c r="AR53" s="65"/>
      <c r="AS53" s="65"/>
      <c r="AT53" s="65"/>
      <c r="AU53" s="65">
        <v>0</v>
      </c>
      <c r="AV53" s="65">
        <v>0</v>
      </c>
      <c r="AW53" s="65">
        <v>1441.69</v>
      </c>
      <c r="AX53" s="65"/>
      <c r="AY53" s="65"/>
      <c r="AZ53" s="65"/>
      <c r="BA53" s="65">
        <v>9.51</v>
      </c>
      <c r="BB53" s="30"/>
    </row>
    <row r="54" spans="1:54" s="31" customFormat="1" ht="24" customHeight="1">
      <c r="A54" s="24">
        <v>46</v>
      </c>
      <c r="B54" s="33" t="s">
        <v>1001</v>
      </c>
      <c r="C54" s="26">
        <f t="shared" si="13"/>
        <v>0</v>
      </c>
      <c r="D54" s="26">
        <f t="shared" si="17"/>
        <v>0</v>
      </c>
      <c r="E54" s="26"/>
      <c r="F54" s="26"/>
      <c r="G54" s="26"/>
      <c r="H54" s="26"/>
      <c r="I54" s="26"/>
      <c r="J54" s="26"/>
      <c r="K54" s="26">
        <f t="shared" si="14"/>
        <v>0</v>
      </c>
      <c r="L54" s="26"/>
      <c r="M54" s="26"/>
      <c r="N54" s="26"/>
      <c r="O54" s="26"/>
      <c r="P54" s="26"/>
      <c r="Q54" s="26"/>
      <c r="R54" s="26"/>
      <c r="S54" s="26"/>
      <c r="T54" s="26"/>
      <c r="U54" s="26"/>
      <c r="V54" s="26"/>
      <c r="W54" s="35"/>
      <c r="X54" s="36"/>
      <c r="Y54" s="36"/>
      <c r="Z54" s="36"/>
      <c r="AA54" s="62">
        <f t="shared" si="15"/>
        <v>2000</v>
      </c>
      <c r="AB54" s="63">
        <f t="shared" si="18"/>
        <v>2000</v>
      </c>
      <c r="AC54" s="65">
        <f t="shared" si="19"/>
        <v>0</v>
      </c>
      <c r="AD54" s="68"/>
      <c r="AE54" s="68"/>
      <c r="AF54" s="68"/>
      <c r="AG54" s="68"/>
      <c r="AH54" s="68">
        <v>2000</v>
      </c>
      <c r="AI54" s="65">
        <f t="shared" si="16"/>
        <v>0</v>
      </c>
      <c r="AJ54" s="65"/>
      <c r="AK54" s="65"/>
      <c r="AL54" s="65"/>
      <c r="AM54" s="65"/>
      <c r="AN54" s="65"/>
      <c r="AO54" s="65"/>
      <c r="AP54" s="65"/>
      <c r="AQ54" s="65"/>
      <c r="AR54" s="65"/>
      <c r="AS54" s="65"/>
      <c r="AT54" s="65"/>
      <c r="AU54" s="65">
        <v>0</v>
      </c>
      <c r="AV54" s="65">
        <v>0</v>
      </c>
      <c r="AW54" s="65"/>
      <c r="AX54" s="65"/>
      <c r="AY54" s="65"/>
      <c r="AZ54" s="65"/>
      <c r="BA54" s="65"/>
      <c r="BB54" s="32"/>
    </row>
    <row r="55" spans="1:54" s="31" customFormat="1" ht="24" customHeight="1">
      <c r="A55" s="24">
        <v>47</v>
      </c>
      <c r="B55" s="33" t="s">
        <v>1002</v>
      </c>
      <c r="C55" s="26">
        <f t="shared" si="13"/>
        <v>17426</v>
      </c>
      <c r="D55" s="26">
        <f t="shared" si="17"/>
        <v>1500</v>
      </c>
      <c r="E55" s="26">
        <v>1500</v>
      </c>
      <c r="F55" s="26"/>
      <c r="G55" s="26"/>
      <c r="H55" s="26"/>
      <c r="I55" s="26"/>
      <c r="J55" s="26"/>
      <c r="K55" s="26">
        <f t="shared" si="14"/>
        <v>9000</v>
      </c>
      <c r="L55" s="26"/>
      <c r="M55" s="26"/>
      <c r="N55" s="26"/>
      <c r="O55" s="26"/>
      <c r="P55" s="26"/>
      <c r="Q55" s="26"/>
      <c r="R55" s="26"/>
      <c r="S55" s="26"/>
      <c r="T55" s="26"/>
      <c r="U55" s="26"/>
      <c r="V55" s="26">
        <v>9000</v>
      </c>
      <c r="W55" s="35"/>
      <c r="X55" s="36">
        <v>800</v>
      </c>
      <c r="Y55" s="36"/>
      <c r="Z55" s="648">
        <v>6126</v>
      </c>
      <c r="AA55" s="62">
        <f t="shared" si="15"/>
        <v>47516.84</v>
      </c>
      <c r="AB55" s="63">
        <f t="shared" si="18"/>
        <v>0</v>
      </c>
      <c r="AC55" s="65">
        <f t="shared" si="19"/>
        <v>0</v>
      </c>
      <c r="AD55" s="68"/>
      <c r="AE55" s="68"/>
      <c r="AF55" s="68"/>
      <c r="AG55" s="68"/>
      <c r="AH55" s="68"/>
      <c r="AI55" s="65">
        <f t="shared" si="16"/>
        <v>8596.14</v>
      </c>
      <c r="AJ55" s="65"/>
      <c r="AK55" s="65"/>
      <c r="AL55" s="65"/>
      <c r="AM55" s="65"/>
      <c r="AN55" s="65"/>
      <c r="AO55" s="65"/>
      <c r="AP55" s="65"/>
      <c r="AQ55" s="65"/>
      <c r="AR55" s="65"/>
      <c r="AS55" s="65"/>
      <c r="AT55" s="65">
        <f>6096.14+2500</f>
        <v>8596.14</v>
      </c>
      <c r="AU55" s="65">
        <v>0</v>
      </c>
      <c r="AV55" s="65">
        <v>0</v>
      </c>
      <c r="AW55" s="65"/>
      <c r="AX55" s="65"/>
      <c r="AY55" s="65">
        <v>800</v>
      </c>
      <c r="AZ55" s="65"/>
      <c r="BA55" s="65">
        <f>28796.96+9323.74</f>
        <v>38120.7</v>
      </c>
      <c r="BB55" s="30"/>
    </row>
    <row r="56" spans="1:54" s="31" customFormat="1" ht="24" customHeight="1">
      <c r="A56" s="24">
        <v>48</v>
      </c>
      <c r="B56" s="33" t="s">
        <v>1003</v>
      </c>
      <c r="C56" s="26">
        <f t="shared" si="13"/>
        <v>14138</v>
      </c>
      <c r="D56" s="26">
        <f t="shared" si="17"/>
        <v>0</v>
      </c>
      <c r="E56" s="26"/>
      <c r="F56" s="26"/>
      <c r="G56" s="26"/>
      <c r="H56" s="26"/>
      <c r="I56" s="26"/>
      <c r="J56" s="26"/>
      <c r="K56" s="26">
        <f t="shared" si="14"/>
        <v>9020</v>
      </c>
      <c r="L56" s="26"/>
      <c r="M56" s="26">
        <v>20</v>
      </c>
      <c r="N56" s="26"/>
      <c r="O56" s="26">
        <v>2000</v>
      </c>
      <c r="P56" s="26"/>
      <c r="Q56" s="26"/>
      <c r="R56" s="26"/>
      <c r="S56" s="26"/>
      <c r="T56" s="26"/>
      <c r="U56" s="26"/>
      <c r="V56" s="26">
        <v>7000</v>
      </c>
      <c r="W56" s="35"/>
      <c r="X56" s="35">
        <v>2270</v>
      </c>
      <c r="Y56" s="35"/>
      <c r="Z56" s="650">
        <v>2848</v>
      </c>
      <c r="AA56" s="62">
        <f t="shared" si="15"/>
        <v>11949.02</v>
      </c>
      <c r="AB56" s="63">
        <f t="shared" si="18"/>
        <v>0</v>
      </c>
      <c r="AC56" s="65">
        <f t="shared" si="19"/>
        <v>0</v>
      </c>
      <c r="AD56" s="65"/>
      <c r="AE56" s="65"/>
      <c r="AF56" s="65"/>
      <c r="AG56" s="65"/>
      <c r="AH56" s="65"/>
      <c r="AI56" s="65">
        <f t="shared" si="16"/>
        <v>9500.86</v>
      </c>
      <c r="AJ56" s="65"/>
      <c r="AK56" s="65">
        <v>20</v>
      </c>
      <c r="AL56" s="65"/>
      <c r="AM56" s="65">
        <v>1939.86</v>
      </c>
      <c r="AN56" s="65"/>
      <c r="AO56" s="65"/>
      <c r="AP56" s="65"/>
      <c r="AQ56" s="65"/>
      <c r="AR56" s="65"/>
      <c r="AS56" s="65"/>
      <c r="AT56" s="65">
        <v>7541</v>
      </c>
      <c r="AU56" s="65">
        <v>0</v>
      </c>
      <c r="AV56" s="65">
        <v>0</v>
      </c>
      <c r="AW56" s="65"/>
      <c r="AX56" s="65"/>
      <c r="AY56" s="65">
        <v>2270</v>
      </c>
      <c r="AZ56" s="65"/>
      <c r="BA56" s="65">
        <f>141+37.16</f>
        <v>178.16</v>
      </c>
      <c r="BB56" s="30"/>
    </row>
    <row r="57" spans="1:54" s="31" customFormat="1" ht="24" customHeight="1">
      <c r="A57" s="24">
        <v>49</v>
      </c>
      <c r="B57" s="33" t="s">
        <v>1004</v>
      </c>
      <c r="C57" s="26">
        <f t="shared" si="13"/>
        <v>2800</v>
      </c>
      <c r="D57" s="26">
        <f t="shared" si="17"/>
        <v>2800</v>
      </c>
      <c r="E57" s="26">
        <v>2800</v>
      </c>
      <c r="F57" s="26"/>
      <c r="G57" s="26"/>
      <c r="H57" s="26"/>
      <c r="I57" s="26"/>
      <c r="J57" s="26"/>
      <c r="K57" s="26">
        <f t="shared" si="14"/>
        <v>0</v>
      </c>
      <c r="L57" s="26"/>
      <c r="M57" s="26"/>
      <c r="N57" s="26"/>
      <c r="O57" s="26"/>
      <c r="P57" s="26"/>
      <c r="Q57" s="26"/>
      <c r="R57" s="26"/>
      <c r="S57" s="26"/>
      <c r="T57" s="26"/>
      <c r="U57" s="26"/>
      <c r="V57" s="26"/>
      <c r="W57" s="35"/>
      <c r="X57" s="36"/>
      <c r="Y57" s="36"/>
      <c r="Z57" s="36"/>
      <c r="AA57" s="62">
        <f t="shared" si="15"/>
        <v>15699.580000000002</v>
      </c>
      <c r="AB57" s="63">
        <f t="shared" si="18"/>
        <v>2856.85</v>
      </c>
      <c r="AC57" s="65">
        <f t="shared" si="19"/>
        <v>2856.85</v>
      </c>
      <c r="AD57" s="65">
        <v>2856.85</v>
      </c>
      <c r="AE57" s="68"/>
      <c r="AF57" s="68"/>
      <c r="AG57" s="68"/>
      <c r="AH57" s="68"/>
      <c r="AI57" s="65">
        <f t="shared" si="16"/>
        <v>0</v>
      </c>
      <c r="AJ57" s="65"/>
      <c r="AK57" s="65"/>
      <c r="AL57" s="65"/>
      <c r="AM57" s="65"/>
      <c r="AN57" s="65"/>
      <c r="AO57" s="65"/>
      <c r="AP57" s="65"/>
      <c r="AQ57" s="65"/>
      <c r="AR57" s="65"/>
      <c r="AS57" s="65"/>
      <c r="AT57" s="65"/>
      <c r="AU57" s="65">
        <v>0</v>
      </c>
      <c r="AV57" s="65">
        <v>0</v>
      </c>
      <c r="AW57" s="65"/>
      <c r="AX57" s="65"/>
      <c r="AY57" s="65"/>
      <c r="AZ57" s="65"/>
      <c r="BA57" s="65">
        <f>12653.62+189.11</f>
        <v>12842.730000000001</v>
      </c>
      <c r="BB57" s="32"/>
    </row>
    <row r="58" spans="1:54" s="31" customFormat="1" ht="24" customHeight="1">
      <c r="A58" s="24">
        <v>50</v>
      </c>
      <c r="B58" s="33" t="s">
        <v>1005</v>
      </c>
      <c r="C58" s="26">
        <f t="shared" si="13"/>
        <v>12210</v>
      </c>
      <c r="D58" s="26">
        <f t="shared" si="17"/>
        <v>0</v>
      </c>
      <c r="E58" s="26"/>
      <c r="F58" s="26"/>
      <c r="G58" s="26"/>
      <c r="H58" s="26"/>
      <c r="I58" s="26"/>
      <c r="J58" s="26"/>
      <c r="K58" s="26">
        <f t="shared" si="14"/>
        <v>12210</v>
      </c>
      <c r="L58" s="26">
        <v>12210</v>
      </c>
      <c r="M58" s="26"/>
      <c r="N58" s="26"/>
      <c r="O58" s="26"/>
      <c r="P58" s="26"/>
      <c r="Q58" s="26"/>
      <c r="R58" s="26"/>
      <c r="S58" s="26"/>
      <c r="T58" s="26"/>
      <c r="U58" s="26"/>
      <c r="V58" s="26"/>
      <c r="W58" s="35"/>
      <c r="X58" s="36"/>
      <c r="Y58" s="36"/>
      <c r="Z58" s="36"/>
      <c r="AA58" s="62">
        <f t="shared" si="15"/>
        <v>16301.72</v>
      </c>
      <c r="AB58" s="63">
        <f t="shared" si="18"/>
        <v>0</v>
      </c>
      <c r="AC58" s="68">
        <f t="shared" si="19"/>
        <v>0</v>
      </c>
      <c r="AD58" s="68"/>
      <c r="AE58" s="68"/>
      <c r="AF58" s="68"/>
      <c r="AG58" s="68"/>
      <c r="AH58" s="68"/>
      <c r="AI58" s="65">
        <f t="shared" si="16"/>
        <v>14293</v>
      </c>
      <c r="AJ58" s="65">
        <f>14263</f>
        <v>14263</v>
      </c>
      <c r="AK58" s="65"/>
      <c r="AL58" s="65"/>
      <c r="AM58" s="65"/>
      <c r="AN58" s="65"/>
      <c r="AO58" s="65"/>
      <c r="AP58" s="65"/>
      <c r="AQ58" s="65"/>
      <c r="AR58" s="65"/>
      <c r="AS58" s="65"/>
      <c r="AT58" s="65"/>
      <c r="AU58" s="65">
        <v>0</v>
      </c>
      <c r="AV58" s="65">
        <v>0</v>
      </c>
      <c r="AW58" s="65">
        <v>30</v>
      </c>
      <c r="AX58" s="65"/>
      <c r="AY58" s="65"/>
      <c r="AZ58" s="65"/>
      <c r="BA58" s="65">
        <v>2008.72</v>
      </c>
      <c r="BB58" s="32"/>
    </row>
    <row r="59" spans="1:54" s="31" customFormat="1" ht="24" customHeight="1">
      <c r="A59" s="24">
        <v>51</v>
      </c>
      <c r="B59" s="33" t="s">
        <v>1006</v>
      </c>
      <c r="C59" s="26">
        <f t="shared" si="13"/>
        <v>0</v>
      </c>
      <c r="D59" s="26">
        <f t="shared" si="17"/>
        <v>0</v>
      </c>
      <c r="E59" s="26"/>
      <c r="F59" s="26"/>
      <c r="G59" s="26"/>
      <c r="H59" s="26"/>
      <c r="I59" s="26"/>
      <c r="J59" s="26"/>
      <c r="K59" s="26">
        <f t="shared" si="14"/>
        <v>0</v>
      </c>
      <c r="L59" s="26"/>
      <c r="M59" s="26"/>
      <c r="N59" s="26"/>
      <c r="O59" s="26"/>
      <c r="P59" s="26"/>
      <c r="Q59" s="26"/>
      <c r="R59" s="26"/>
      <c r="S59" s="26"/>
      <c r="T59" s="26"/>
      <c r="U59" s="26"/>
      <c r="V59" s="26"/>
      <c r="W59" s="35"/>
      <c r="X59" s="36"/>
      <c r="Y59" s="36"/>
      <c r="Z59" s="36"/>
      <c r="AA59" s="62">
        <f t="shared" si="15"/>
        <v>4481.12</v>
      </c>
      <c r="AB59" s="63">
        <f t="shared" si="18"/>
        <v>0</v>
      </c>
      <c r="AC59" s="68">
        <f t="shared" si="19"/>
        <v>0</v>
      </c>
      <c r="AD59" s="68"/>
      <c r="AE59" s="68"/>
      <c r="AF59" s="68"/>
      <c r="AG59" s="68"/>
      <c r="AH59" s="68"/>
      <c r="AI59" s="65">
        <f t="shared" si="16"/>
        <v>1505</v>
      </c>
      <c r="AJ59" s="65">
        <v>1505</v>
      </c>
      <c r="AK59" s="65"/>
      <c r="AL59" s="65"/>
      <c r="AM59" s="65"/>
      <c r="AN59" s="65"/>
      <c r="AO59" s="65"/>
      <c r="AP59" s="65"/>
      <c r="AQ59" s="65"/>
      <c r="AR59" s="65"/>
      <c r="AS59" s="65"/>
      <c r="AT59" s="65"/>
      <c r="AU59" s="65">
        <v>0</v>
      </c>
      <c r="AV59" s="65">
        <v>0</v>
      </c>
      <c r="AW59" s="65"/>
      <c r="AX59" s="65"/>
      <c r="AY59" s="65"/>
      <c r="AZ59" s="65"/>
      <c r="BA59" s="65">
        <v>2976.12</v>
      </c>
      <c r="BB59" s="32"/>
    </row>
    <row r="60" spans="1:54" s="31" customFormat="1" ht="24" customHeight="1">
      <c r="A60" s="24">
        <v>52</v>
      </c>
      <c r="B60" s="38" t="s">
        <v>1036</v>
      </c>
      <c r="C60" s="26">
        <f t="shared" si="13"/>
        <v>0</v>
      </c>
      <c r="D60" s="26">
        <f t="shared" si="17"/>
        <v>0</v>
      </c>
      <c r="E60" s="39"/>
      <c r="F60" s="39"/>
      <c r="G60" s="39"/>
      <c r="H60" s="39"/>
      <c r="I60" s="39"/>
      <c r="J60" s="39"/>
      <c r="K60" s="26">
        <f t="shared" si="14"/>
        <v>0</v>
      </c>
      <c r="L60" s="39"/>
      <c r="M60" s="39"/>
      <c r="N60" s="39"/>
      <c r="O60" s="39"/>
      <c r="P60" s="39"/>
      <c r="Q60" s="39"/>
      <c r="R60" s="39"/>
      <c r="S60" s="39"/>
      <c r="T60" s="39"/>
      <c r="U60" s="39"/>
      <c r="V60" s="39"/>
      <c r="W60" s="40"/>
      <c r="X60" s="41"/>
      <c r="Y60" s="41"/>
      <c r="Z60" s="41"/>
      <c r="AA60" s="69">
        <f t="shared" si="15"/>
        <v>176.46</v>
      </c>
      <c r="AB60" s="63">
        <f t="shared" si="18"/>
        <v>176.46</v>
      </c>
      <c r="AC60" s="70">
        <f t="shared" si="19"/>
        <v>176.46</v>
      </c>
      <c r="AD60" s="69">
        <v>176.46</v>
      </c>
      <c r="AE60" s="69"/>
      <c r="AF60" s="69"/>
      <c r="AG60" s="69"/>
      <c r="AH60" s="69"/>
      <c r="AI60" s="71">
        <f t="shared" si="16"/>
        <v>0</v>
      </c>
      <c r="AJ60" s="65"/>
      <c r="AK60" s="65"/>
      <c r="AL60" s="65"/>
      <c r="AM60" s="65"/>
      <c r="AN60" s="65"/>
      <c r="AO60" s="65"/>
      <c r="AP60" s="65"/>
      <c r="AQ60" s="65"/>
      <c r="AR60" s="65"/>
      <c r="AS60" s="65"/>
      <c r="AT60" s="65"/>
      <c r="AU60" s="65">
        <v>0</v>
      </c>
      <c r="AV60" s="65">
        <v>0</v>
      </c>
      <c r="AW60" s="65"/>
      <c r="AX60" s="65"/>
      <c r="AY60" s="65"/>
      <c r="AZ60" s="65"/>
      <c r="BA60" s="65"/>
      <c r="BB60" s="32"/>
    </row>
    <row r="61" spans="1:54" s="31" customFormat="1" ht="24" customHeight="1">
      <c r="A61" s="24">
        <v>54</v>
      </c>
      <c r="B61" s="33" t="s">
        <v>1007</v>
      </c>
      <c r="C61" s="26">
        <f t="shared" si="13"/>
        <v>0</v>
      </c>
      <c r="D61" s="26">
        <f t="shared" si="17"/>
        <v>0</v>
      </c>
      <c r="E61" s="26"/>
      <c r="F61" s="26"/>
      <c r="G61" s="26"/>
      <c r="H61" s="26"/>
      <c r="I61" s="26"/>
      <c r="J61" s="26"/>
      <c r="K61" s="26">
        <f t="shared" si="14"/>
        <v>0</v>
      </c>
      <c r="L61" s="26"/>
      <c r="M61" s="26"/>
      <c r="N61" s="26"/>
      <c r="O61" s="26"/>
      <c r="P61" s="26"/>
      <c r="Q61" s="26"/>
      <c r="R61" s="26"/>
      <c r="S61" s="26"/>
      <c r="T61" s="26"/>
      <c r="U61" s="26"/>
      <c r="V61" s="26"/>
      <c r="W61" s="35"/>
      <c r="X61" s="36"/>
      <c r="Y61" s="36"/>
      <c r="Z61" s="36"/>
      <c r="AA61" s="68">
        <f t="shared" si="15"/>
        <v>490.49</v>
      </c>
      <c r="AB61" s="63"/>
      <c r="AC61" s="68"/>
      <c r="AD61" s="68"/>
      <c r="AE61" s="68"/>
      <c r="AF61" s="68"/>
      <c r="AG61" s="68"/>
      <c r="AH61" s="68"/>
      <c r="AI61" s="65">
        <f t="shared" si="16"/>
        <v>0</v>
      </c>
      <c r="AJ61" s="65"/>
      <c r="AK61" s="65"/>
      <c r="AL61" s="65"/>
      <c r="AM61" s="65"/>
      <c r="AN61" s="65"/>
      <c r="AO61" s="65"/>
      <c r="AP61" s="65"/>
      <c r="AQ61" s="65"/>
      <c r="AR61" s="65"/>
      <c r="AS61" s="65"/>
      <c r="AT61" s="65"/>
      <c r="AU61" s="65">
        <v>0</v>
      </c>
      <c r="AV61" s="65">
        <v>0</v>
      </c>
      <c r="AW61" s="65"/>
      <c r="AX61" s="65"/>
      <c r="AY61" s="65"/>
      <c r="AZ61" s="65"/>
      <c r="BA61" s="65">
        <v>490.49</v>
      </c>
      <c r="BB61" s="32"/>
    </row>
    <row r="62" spans="1:54" s="31" customFormat="1" ht="24" customHeight="1">
      <c r="A62" s="24">
        <v>55</v>
      </c>
      <c r="B62" s="38" t="s">
        <v>1008</v>
      </c>
      <c r="C62" s="26">
        <f t="shared" si="13"/>
        <v>0</v>
      </c>
      <c r="D62" s="26">
        <f t="shared" si="17"/>
        <v>0</v>
      </c>
      <c r="E62" s="25"/>
      <c r="F62" s="25"/>
      <c r="G62" s="25"/>
      <c r="H62" s="25"/>
      <c r="I62" s="25"/>
      <c r="J62" s="25"/>
      <c r="K62" s="26">
        <f t="shared" si="14"/>
        <v>0</v>
      </c>
      <c r="L62" s="25"/>
      <c r="M62" s="25"/>
      <c r="N62" s="25"/>
      <c r="O62" s="25"/>
      <c r="P62" s="25"/>
      <c r="Q62" s="25"/>
      <c r="R62" s="25"/>
      <c r="S62" s="25"/>
      <c r="T62" s="25"/>
      <c r="U62" s="25"/>
      <c r="V62" s="25"/>
      <c r="W62" s="28"/>
      <c r="X62" s="29"/>
      <c r="Y62" s="29"/>
      <c r="Z62" s="29"/>
      <c r="AA62" s="62">
        <f t="shared" si="15"/>
        <v>1000</v>
      </c>
      <c r="AB62" s="63"/>
      <c r="AC62" s="62"/>
      <c r="AD62" s="62"/>
      <c r="AE62" s="62"/>
      <c r="AF62" s="62"/>
      <c r="AG62" s="62"/>
      <c r="AH62" s="62"/>
      <c r="AI62" s="65">
        <f t="shared" si="16"/>
        <v>1000</v>
      </c>
      <c r="AJ62" s="65"/>
      <c r="AK62" s="65"/>
      <c r="AL62" s="65"/>
      <c r="AM62" s="65"/>
      <c r="AN62" s="65"/>
      <c r="AO62" s="65"/>
      <c r="AP62" s="65"/>
      <c r="AQ62" s="65"/>
      <c r="AR62" s="65"/>
      <c r="AS62" s="65"/>
      <c r="AT62" s="65"/>
      <c r="AU62" s="65">
        <v>0</v>
      </c>
      <c r="AV62" s="65">
        <v>0</v>
      </c>
      <c r="AW62" s="65">
        <v>1000</v>
      </c>
      <c r="AX62" s="65"/>
      <c r="AY62" s="65"/>
      <c r="AZ62" s="65"/>
      <c r="BA62" s="65"/>
      <c r="BB62" s="32"/>
    </row>
    <row r="63" spans="1:54" s="31" customFormat="1" ht="24" customHeight="1">
      <c r="A63" s="24">
        <v>56</v>
      </c>
      <c r="B63" s="38" t="s">
        <v>1035</v>
      </c>
      <c r="C63" s="26"/>
      <c r="D63" s="26"/>
      <c r="E63" s="25"/>
      <c r="F63" s="25"/>
      <c r="G63" s="25"/>
      <c r="H63" s="25"/>
      <c r="I63" s="25"/>
      <c r="J63" s="25"/>
      <c r="K63" s="26"/>
      <c r="L63" s="25"/>
      <c r="M63" s="25"/>
      <c r="N63" s="25"/>
      <c r="O63" s="25"/>
      <c r="P63" s="25"/>
      <c r="Q63" s="25"/>
      <c r="R63" s="25"/>
      <c r="S63" s="25"/>
      <c r="T63" s="25"/>
      <c r="U63" s="25"/>
      <c r="V63" s="25"/>
      <c r="W63" s="28"/>
      <c r="X63" s="29"/>
      <c r="Y63" s="29"/>
      <c r="Z63" s="29"/>
      <c r="AA63" s="62">
        <f t="shared" si="15"/>
        <v>500</v>
      </c>
      <c r="AB63" s="63"/>
      <c r="AC63" s="62"/>
      <c r="AD63" s="62"/>
      <c r="AE63" s="62"/>
      <c r="AF63" s="62"/>
      <c r="AG63" s="62"/>
      <c r="AH63" s="62"/>
      <c r="AI63" s="65">
        <f t="shared" si="16"/>
        <v>500</v>
      </c>
      <c r="AJ63" s="65"/>
      <c r="AK63" s="65"/>
      <c r="AL63" s="65"/>
      <c r="AM63" s="65"/>
      <c r="AN63" s="65"/>
      <c r="AO63" s="65"/>
      <c r="AP63" s="65"/>
      <c r="AQ63" s="65"/>
      <c r="AR63" s="65"/>
      <c r="AS63" s="65"/>
      <c r="AT63" s="65"/>
      <c r="AU63" s="65"/>
      <c r="AV63" s="65"/>
      <c r="AW63" s="65">
        <v>500</v>
      </c>
      <c r="AX63" s="65"/>
      <c r="AY63" s="65"/>
      <c r="AZ63" s="65"/>
      <c r="BA63" s="65"/>
      <c r="BB63" s="32"/>
    </row>
    <row r="64" spans="1:54" s="31" customFormat="1" ht="24" customHeight="1">
      <c r="A64" s="24">
        <v>58</v>
      </c>
      <c r="B64" s="33" t="s">
        <v>1071</v>
      </c>
      <c r="C64" s="26">
        <f t="shared" si="13"/>
        <v>0</v>
      </c>
      <c r="D64" s="26">
        <f t="shared" si="17"/>
        <v>0</v>
      </c>
      <c r="E64" s="26"/>
      <c r="F64" s="26"/>
      <c r="G64" s="26"/>
      <c r="H64" s="26"/>
      <c r="I64" s="26"/>
      <c r="J64" s="26"/>
      <c r="K64" s="26">
        <f t="shared" si="14"/>
        <v>0</v>
      </c>
      <c r="L64" s="26"/>
      <c r="M64" s="26"/>
      <c r="N64" s="26"/>
      <c r="O64" s="26"/>
      <c r="P64" s="26"/>
      <c r="Q64" s="26"/>
      <c r="R64" s="26"/>
      <c r="S64" s="26"/>
      <c r="T64" s="26"/>
      <c r="U64" s="26"/>
      <c r="V64" s="26"/>
      <c r="W64" s="35"/>
      <c r="X64" s="36"/>
      <c r="Y64" s="36"/>
      <c r="Z64" s="36"/>
      <c r="AA64" s="62">
        <f t="shared" si="15"/>
        <v>250</v>
      </c>
      <c r="AB64" s="63"/>
      <c r="AC64" s="68"/>
      <c r="AD64" s="68"/>
      <c r="AE64" s="68"/>
      <c r="AF64" s="68"/>
      <c r="AG64" s="68"/>
      <c r="AH64" s="68"/>
      <c r="AI64" s="65">
        <f t="shared" si="16"/>
        <v>250</v>
      </c>
      <c r="AJ64" s="65"/>
      <c r="AK64" s="65"/>
      <c r="AL64" s="65"/>
      <c r="AM64" s="65"/>
      <c r="AN64" s="65"/>
      <c r="AO64" s="65"/>
      <c r="AP64" s="65"/>
      <c r="AQ64" s="65"/>
      <c r="AR64" s="65"/>
      <c r="AS64" s="65"/>
      <c r="AT64" s="65"/>
      <c r="AU64" s="65">
        <v>0</v>
      </c>
      <c r="AV64" s="65">
        <v>0</v>
      </c>
      <c r="AW64" s="65">
        <v>250</v>
      </c>
      <c r="AX64" s="65"/>
      <c r="AY64" s="65"/>
      <c r="AZ64" s="65"/>
      <c r="BA64" s="65"/>
      <c r="BB64" s="32"/>
    </row>
    <row r="65" spans="1:54" s="31" customFormat="1" ht="24" customHeight="1">
      <c r="A65" s="24">
        <v>59</v>
      </c>
      <c r="B65" s="33" t="s">
        <v>1009</v>
      </c>
      <c r="C65" s="26">
        <f t="shared" si="13"/>
        <v>0</v>
      </c>
      <c r="D65" s="26">
        <f t="shared" si="17"/>
        <v>0</v>
      </c>
      <c r="E65" s="26"/>
      <c r="F65" s="26"/>
      <c r="G65" s="26"/>
      <c r="H65" s="26"/>
      <c r="I65" s="26"/>
      <c r="J65" s="26"/>
      <c r="K65" s="26">
        <f t="shared" si="14"/>
        <v>0</v>
      </c>
      <c r="L65" s="26"/>
      <c r="M65" s="26"/>
      <c r="N65" s="26"/>
      <c r="O65" s="26"/>
      <c r="P65" s="26"/>
      <c r="Q65" s="26"/>
      <c r="R65" s="26"/>
      <c r="S65" s="26"/>
      <c r="T65" s="26"/>
      <c r="U65" s="26"/>
      <c r="V65" s="26"/>
      <c r="W65" s="35"/>
      <c r="X65" s="36"/>
      <c r="Y65" s="36"/>
      <c r="Z65" s="36"/>
      <c r="AA65" s="62">
        <f t="shared" si="15"/>
        <v>100</v>
      </c>
      <c r="AB65" s="63"/>
      <c r="AC65" s="68"/>
      <c r="AD65" s="68"/>
      <c r="AE65" s="68"/>
      <c r="AF65" s="68"/>
      <c r="AG65" s="68"/>
      <c r="AH65" s="68"/>
      <c r="AI65" s="65">
        <f t="shared" si="16"/>
        <v>100</v>
      </c>
      <c r="AJ65" s="65"/>
      <c r="AK65" s="65"/>
      <c r="AL65" s="65"/>
      <c r="AM65" s="65"/>
      <c r="AN65" s="65"/>
      <c r="AO65" s="65"/>
      <c r="AP65" s="65"/>
      <c r="AQ65" s="65"/>
      <c r="AR65" s="65"/>
      <c r="AS65" s="65"/>
      <c r="AT65" s="65"/>
      <c r="AU65" s="65">
        <v>0</v>
      </c>
      <c r="AV65" s="65">
        <v>0</v>
      </c>
      <c r="AW65" s="65">
        <v>100</v>
      </c>
      <c r="AX65" s="65"/>
      <c r="AY65" s="65"/>
      <c r="AZ65" s="65"/>
      <c r="BA65" s="65"/>
      <c r="BB65" s="32"/>
    </row>
    <row r="66" spans="1:54" s="31" customFormat="1" ht="24" customHeight="1">
      <c r="A66" s="24">
        <v>64</v>
      </c>
      <c r="B66" s="33" t="s">
        <v>1010</v>
      </c>
      <c r="C66" s="26">
        <f t="shared" si="13"/>
        <v>1978</v>
      </c>
      <c r="D66" s="26">
        <f t="shared" si="17"/>
        <v>0</v>
      </c>
      <c r="E66" s="26"/>
      <c r="F66" s="26"/>
      <c r="G66" s="26"/>
      <c r="H66" s="26"/>
      <c r="I66" s="26"/>
      <c r="J66" s="26"/>
      <c r="K66" s="26">
        <f t="shared" si="14"/>
        <v>0</v>
      </c>
      <c r="L66" s="26"/>
      <c r="M66" s="26"/>
      <c r="N66" s="26"/>
      <c r="O66" s="26"/>
      <c r="P66" s="26"/>
      <c r="Q66" s="26"/>
      <c r="R66" s="26"/>
      <c r="S66" s="26"/>
      <c r="T66" s="26"/>
      <c r="U66" s="26"/>
      <c r="V66" s="26"/>
      <c r="W66" s="35"/>
      <c r="X66" s="36"/>
      <c r="Y66" s="36"/>
      <c r="Z66" s="648">
        <v>1978</v>
      </c>
      <c r="AA66" s="62">
        <f t="shared" si="15"/>
        <v>0</v>
      </c>
      <c r="AB66" s="63"/>
      <c r="AC66" s="68"/>
      <c r="AD66" s="68"/>
      <c r="AE66" s="68"/>
      <c r="AF66" s="68"/>
      <c r="AG66" s="68"/>
      <c r="AH66" s="68"/>
      <c r="AI66" s="65">
        <f t="shared" si="16"/>
        <v>0</v>
      </c>
      <c r="AJ66" s="65"/>
      <c r="AK66" s="65"/>
      <c r="AL66" s="65"/>
      <c r="AM66" s="65"/>
      <c r="AN66" s="65"/>
      <c r="AO66" s="65"/>
      <c r="AP66" s="65"/>
      <c r="AQ66" s="65"/>
      <c r="AR66" s="65"/>
      <c r="AS66" s="65"/>
      <c r="AT66" s="65"/>
      <c r="AU66" s="65"/>
      <c r="AV66" s="65"/>
      <c r="AW66" s="65"/>
      <c r="AX66" s="65"/>
      <c r="AY66" s="65"/>
      <c r="AZ66" s="65"/>
      <c r="BA66" s="67"/>
      <c r="BB66" s="30"/>
    </row>
    <row r="67" spans="1:54" s="31" customFormat="1" ht="24" customHeight="1">
      <c r="A67" s="24">
        <v>65</v>
      </c>
      <c r="B67" s="33" t="s">
        <v>1011</v>
      </c>
      <c r="C67" s="26"/>
      <c r="D67" s="26"/>
      <c r="E67" s="26"/>
      <c r="F67" s="26"/>
      <c r="G67" s="26"/>
      <c r="H67" s="26"/>
      <c r="I67" s="26"/>
      <c r="J67" s="26"/>
      <c r="K67" s="26"/>
      <c r="L67" s="26"/>
      <c r="M67" s="26"/>
      <c r="N67" s="26"/>
      <c r="O67" s="26"/>
      <c r="P67" s="26"/>
      <c r="Q67" s="26"/>
      <c r="R67" s="26"/>
      <c r="S67" s="26"/>
      <c r="T67" s="26"/>
      <c r="U67" s="26"/>
      <c r="V67" s="26"/>
      <c r="W67" s="35"/>
      <c r="X67" s="36"/>
      <c r="Y67" s="36"/>
      <c r="Z67" s="36"/>
      <c r="AA67" s="62">
        <f t="shared" si="15"/>
        <v>15378.74</v>
      </c>
      <c r="AB67" s="63"/>
      <c r="AC67" s="68"/>
      <c r="AD67" s="68"/>
      <c r="AE67" s="68"/>
      <c r="AF67" s="68"/>
      <c r="AG67" s="68"/>
      <c r="AH67" s="68"/>
      <c r="AI67" s="65"/>
      <c r="AJ67" s="65"/>
      <c r="AK67" s="65"/>
      <c r="AL67" s="65"/>
      <c r="AM67" s="65"/>
      <c r="AN67" s="65"/>
      <c r="AO67" s="65"/>
      <c r="AP67" s="65"/>
      <c r="AQ67" s="65"/>
      <c r="AR67" s="65"/>
      <c r="AS67" s="65"/>
      <c r="AT67" s="65"/>
      <c r="AU67" s="65"/>
      <c r="AV67" s="65"/>
      <c r="AW67" s="65"/>
      <c r="AX67" s="65"/>
      <c r="AY67" s="65"/>
      <c r="AZ67" s="65"/>
      <c r="BA67" s="65">
        <v>15378.74</v>
      </c>
      <c r="BB67" s="30"/>
    </row>
    <row r="68" spans="1:54" s="31" customFormat="1" ht="24" customHeight="1">
      <c r="A68" s="42" t="s">
        <v>1012</v>
      </c>
      <c r="B68" s="42" t="s">
        <v>1013</v>
      </c>
      <c r="C68" s="43">
        <f aca="true" t="shared" si="20" ref="C68:AE68">SUM(C69:C79)</f>
        <v>9105</v>
      </c>
      <c r="D68" s="43">
        <f t="shared" si="20"/>
        <v>400</v>
      </c>
      <c r="E68" s="43">
        <f t="shared" si="20"/>
        <v>400</v>
      </c>
      <c r="F68" s="43">
        <f t="shared" si="20"/>
        <v>0</v>
      </c>
      <c r="G68" s="43">
        <f t="shared" si="20"/>
        <v>0</v>
      </c>
      <c r="H68" s="43">
        <f t="shared" si="20"/>
        <v>0</v>
      </c>
      <c r="I68" s="43">
        <f t="shared" si="20"/>
        <v>0</v>
      </c>
      <c r="J68" s="43">
        <f t="shared" si="20"/>
        <v>0</v>
      </c>
      <c r="K68" s="43">
        <f t="shared" si="20"/>
        <v>8130</v>
      </c>
      <c r="L68" s="43">
        <f t="shared" si="20"/>
        <v>0</v>
      </c>
      <c r="M68" s="43">
        <f t="shared" si="20"/>
        <v>20</v>
      </c>
      <c r="N68" s="43">
        <f t="shared" si="20"/>
        <v>0</v>
      </c>
      <c r="O68" s="43">
        <f t="shared" si="20"/>
        <v>0</v>
      </c>
      <c r="P68" s="43">
        <f t="shared" si="20"/>
        <v>0</v>
      </c>
      <c r="Q68" s="43">
        <f t="shared" si="20"/>
        <v>0</v>
      </c>
      <c r="R68" s="43">
        <f t="shared" si="20"/>
        <v>0</v>
      </c>
      <c r="S68" s="43">
        <f t="shared" si="20"/>
        <v>0</v>
      </c>
      <c r="T68" s="43">
        <f t="shared" si="20"/>
        <v>0</v>
      </c>
      <c r="U68" s="43">
        <f t="shared" si="20"/>
        <v>8110</v>
      </c>
      <c r="V68" s="43">
        <f t="shared" si="20"/>
        <v>0</v>
      </c>
      <c r="W68" s="43">
        <f t="shared" si="20"/>
        <v>0</v>
      </c>
      <c r="X68" s="43">
        <f t="shared" si="20"/>
        <v>0</v>
      </c>
      <c r="Y68" s="43">
        <f t="shared" si="20"/>
        <v>0</v>
      </c>
      <c r="Z68" s="43">
        <f t="shared" si="20"/>
        <v>575</v>
      </c>
      <c r="AA68" s="72">
        <f t="shared" si="20"/>
        <v>10658.58</v>
      </c>
      <c r="AB68" s="72">
        <f t="shared" si="20"/>
        <v>400</v>
      </c>
      <c r="AC68" s="73">
        <f t="shared" si="20"/>
        <v>400</v>
      </c>
      <c r="AD68" s="796">
        <f t="shared" si="20"/>
        <v>400</v>
      </c>
      <c r="AE68" s="796">
        <f t="shared" si="20"/>
        <v>0</v>
      </c>
      <c r="AF68" s="797"/>
      <c r="AG68" s="74"/>
      <c r="AH68" s="74"/>
      <c r="AI68" s="74">
        <f>SUM(AI69:AI79)</f>
        <v>9683.58</v>
      </c>
      <c r="AJ68" s="74">
        <f>SUM(AJ69:AJ79)</f>
        <v>0</v>
      </c>
      <c r="AK68" s="74">
        <f>SUM(AK69:AK79)</f>
        <v>20</v>
      </c>
      <c r="AL68" s="74"/>
      <c r="AM68" s="74"/>
      <c r="AN68" s="74"/>
      <c r="AO68" s="74"/>
      <c r="AP68" s="74"/>
      <c r="AQ68" s="74"/>
      <c r="AR68" s="74"/>
      <c r="AS68" s="74">
        <f>SUM(AS69:AS79)</f>
        <v>9663.58</v>
      </c>
      <c r="AT68" s="74"/>
      <c r="AU68" s="74"/>
      <c r="AV68" s="74"/>
      <c r="AW68" s="74"/>
      <c r="AX68" s="74"/>
      <c r="AY68" s="74"/>
      <c r="AZ68" s="74">
        <f>SUM(AZ69:AZ79)</f>
        <v>0</v>
      </c>
      <c r="BA68" s="74">
        <f>SUM(BA69:BA79)</f>
        <v>575</v>
      </c>
      <c r="BB68" s="32"/>
    </row>
    <row r="69" spans="1:54" s="31" customFormat="1" ht="24" customHeight="1">
      <c r="A69" s="33">
        <v>1</v>
      </c>
      <c r="B69" s="33" t="s">
        <v>1014</v>
      </c>
      <c r="C69" s="26">
        <f aca="true" t="shared" si="21" ref="C69:C79">D69+K69+X69+Y69+Z69</f>
        <v>2753</v>
      </c>
      <c r="D69" s="26">
        <f aca="true" t="shared" si="22" ref="D69:D77">SUM(E69,J69)</f>
        <v>400</v>
      </c>
      <c r="E69" s="26">
        <v>400</v>
      </c>
      <c r="F69" s="26"/>
      <c r="G69" s="26"/>
      <c r="H69" s="26"/>
      <c r="I69" s="26"/>
      <c r="J69" s="26"/>
      <c r="K69" s="26">
        <f aca="true" t="shared" si="23" ref="K69:K79">SUM(L69:W69)</f>
        <v>2353</v>
      </c>
      <c r="L69" s="26"/>
      <c r="M69" s="26"/>
      <c r="N69" s="26"/>
      <c r="O69" s="26"/>
      <c r="P69" s="26"/>
      <c r="Q69" s="26"/>
      <c r="R69" s="26"/>
      <c r="S69" s="26"/>
      <c r="T69" s="26"/>
      <c r="U69" s="26">
        <v>2353</v>
      </c>
      <c r="V69" s="26"/>
      <c r="W69" s="35"/>
      <c r="X69" s="36"/>
      <c r="Y69" s="36"/>
      <c r="Z69" s="36"/>
      <c r="AA69" s="62">
        <f aca="true" t="shared" si="24" ref="AA69:AA79">SUM(AB69,AI69,AY69:BA69)</f>
        <v>3530.51</v>
      </c>
      <c r="AB69" s="63">
        <f>SUM(AC69,AH69)</f>
        <v>400</v>
      </c>
      <c r="AC69" s="63">
        <f>SUM(AD69:AE69)</f>
        <v>400</v>
      </c>
      <c r="AD69" s="63">
        <v>400</v>
      </c>
      <c r="AE69" s="65"/>
      <c r="AF69" s="65"/>
      <c r="AG69" s="65"/>
      <c r="AH69" s="65"/>
      <c r="AI69" s="71">
        <f aca="true" t="shared" si="25" ref="AI69:AI79">SUM(AJ69:AW69)</f>
        <v>3130.51</v>
      </c>
      <c r="AJ69" s="65"/>
      <c r="AK69" s="65"/>
      <c r="AL69" s="65"/>
      <c r="AM69" s="65"/>
      <c r="AN69" s="65"/>
      <c r="AO69" s="65"/>
      <c r="AP69" s="65"/>
      <c r="AQ69" s="65"/>
      <c r="AR69" s="65"/>
      <c r="AS69" s="65">
        <v>3130.51</v>
      </c>
      <c r="AT69" s="65"/>
      <c r="AU69" s="65"/>
      <c r="AV69" s="65"/>
      <c r="AW69" s="65"/>
      <c r="AX69" s="65">
        <v>0</v>
      </c>
      <c r="AY69" s="65"/>
      <c r="AZ69" s="65">
        <v>0</v>
      </c>
      <c r="BA69" s="65"/>
      <c r="BB69" s="32"/>
    </row>
    <row r="70" spans="1:54" s="31" customFormat="1" ht="24" customHeight="1">
      <c r="A70" s="33">
        <v>2</v>
      </c>
      <c r="B70" s="33" t="s">
        <v>1015</v>
      </c>
      <c r="C70" s="26">
        <f t="shared" si="21"/>
        <v>217</v>
      </c>
      <c r="D70" s="26">
        <f t="shared" si="22"/>
        <v>0</v>
      </c>
      <c r="E70" s="26"/>
      <c r="F70" s="26"/>
      <c r="G70" s="26"/>
      <c r="H70" s="26"/>
      <c r="I70" s="26"/>
      <c r="J70" s="26"/>
      <c r="K70" s="26">
        <f t="shared" si="23"/>
        <v>217</v>
      </c>
      <c r="L70" s="26"/>
      <c r="M70" s="26"/>
      <c r="N70" s="26"/>
      <c r="O70" s="26"/>
      <c r="P70" s="26"/>
      <c r="Q70" s="26"/>
      <c r="R70" s="26"/>
      <c r="S70" s="26"/>
      <c r="T70" s="26"/>
      <c r="U70" s="26">
        <v>217</v>
      </c>
      <c r="V70" s="26"/>
      <c r="W70" s="35"/>
      <c r="X70" s="36"/>
      <c r="Y70" s="36"/>
      <c r="Z70" s="36"/>
      <c r="AA70" s="62">
        <f t="shared" si="24"/>
        <v>267</v>
      </c>
      <c r="AB70" s="63">
        <f>SUM(AC70,AH70)</f>
        <v>0</v>
      </c>
      <c r="AC70" s="63">
        <f>SUM(AD70:AE70)</f>
        <v>0</v>
      </c>
      <c r="AD70" s="63"/>
      <c r="AE70" s="65"/>
      <c r="AF70" s="65"/>
      <c r="AG70" s="65"/>
      <c r="AH70" s="65"/>
      <c r="AI70" s="65">
        <f t="shared" si="25"/>
        <v>267</v>
      </c>
      <c r="AJ70" s="65"/>
      <c r="AK70" s="65"/>
      <c r="AL70" s="65"/>
      <c r="AM70" s="65"/>
      <c r="AN70" s="65"/>
      <c r="AO70" s="65"/>
      <c r="AP70" s="65"/>
      <c r="AQ70" s="65"/>
      <c r="AR70" s="65"/>
      <c r="AS70" s="65">
        <v>267</v>
      </c>
      <c r="AT70" s="65"/>
      <c r="AU70" s="65"/>
      <c r="AV70" s="65"/>
      <c r="AW70" s="65"/>
      <c r="AX70" s="65">
        <v>0</v>
      </c>
      <c r="AY70" s="65"/>
      <c r="AZ70" s="65">
        <v>0</v>
      </c>
      <c r="BA70" s="65"/>
      <c r="BB70" s="32"/>
    </row>
    <row r="71" spans="1:54" s="31" customFormat="1" ht="24" customHeight="1">
      <c r="A71" s="33">
        <v>3</v>
      </c>
      <c r="B71" s="33" t="s">
        <v>1016</v>
      </c>
      <c r="C71" s="26">
        <f t="shared" si="21"/>
        <v>2406</v>
      </c>
      <c r="D71" s="26">
        <f t="shared" si="22"/>
        <v>0</v>
      </c>
      <c r="E71" s="26"/>
      <c r="F71" s="26"/>
      <c r="G71" s="26"/>
      <c r="H71" s="26"/>
      <c r="I71" s="26"/>
      <c r="J71" s="26"/>
      <c r="K71" s="26">
        <f t="shared" si="23"/>
        <v>1921</v>
      </c>
      <c r="L71" s="26"/>
      <c r="M71" s="26"/>
      <c r="N71" s="26"/>
      <c r="O71" s="26"/>
      <c r="P71" s="26"/>
      <c r="Q71" s="26"/>
      <c r="R71" s="26"/>
      <c r="S71" s="26"/>
      <c r="T71" s="26"/>
      <c r="U71" s="26">
        <v>1921</v>
      </c>
      <c r="V71" s="26"/>
      <c r="W71" s="35"/>
      <c r="X71" s="36"/>
      <c r="Y71" s="36"/>
      <c r="Z71" s="36">
        <v>485</v>
      </c>
      <c r="AA71" s="62">
        <f t="shared" si="24"/>
        <v>2602</v>
      </c>
      <c r="AB71" s="63"/>
      <c r="AC71" s="63"/>
      <c r="AD71" s="63"/>
      <c r="AE71" s="65"/>
      <c r="AF71" s="65"/>
      <c r="AG71" s="65"/>
      <c r="AH71" s="65"/>
      <c r="AI71" s="65">
        <f t="shared" si="25"/>
        <v>2117</v>
      </c>
      <c r="AJ71" s="65"/>
      <c r="AK71" s="65"/>
      <c r="AL71" s="65"/>
      <c r="AM71" s="65"/>
      <c r="AN71" s="65"/>
      <c r="AO71" s="65"/>
      <c r="AP71" s="65"/>
      <c r="AQ71" s="65"/>
      <c r="AR71" s="65"/>
      <c r="AS71" s="65">
        <v>2117</v>
      </c>
      <c r="AT71" s="65"/>
      <c r="AU71" s="65"/>
      <c r="AV71" s="65"/>
      <c r="AW71" s="65"/>
      <c r="AX71" s="65">
        <v>0</v>
      </c>
      <c r="AY71" s="65"/>
      <c r="AZ71" s="65">
        <v>0</v>
      </c>
      <c r="BA71" s="65">
        <v>485</v>
      </c>
      <c r="BB71" s="32"/>
    </row>
    <row r="72" spans="1:54" s="31" customFormat="1" ht="24" customHeight="1">
      <c r="A72" s="33">
        <v>4</v>
      </c>
      <c r="B72" s="33" t="s">
        <v>1017</v>
      </c>
      <c r="C72" s="26">
        <f t="shared" si="21"/>
        <v>291</v>
      </c>
      <c r="D72" s="26">
        <f t="shared" si="22"/>
        <v>0</v>
      </c>
      <c r="E72" s="26"/>
      <c r="F72" s="26"/>
      <c r="G72" s="26"/>
      <c r="H72" s="26"/>
      <c r="I72" s="26"/>
      <c r="J72" s="26"/>
      <c r="K72" s="26">
        <f t="shared" si="23"/>
        <v>291</v>
      </c>
      <c r="L72" s="26"/>
      <c r="M72" s="26"/>
      <c r="N72" s="26"/>
      <c r="O72" s="26"/>
      <c r="P72" s="26"/>
      <c r="Q72" s="26"/>
      <c r="R72" s="26"/>
      <c r="S72" s="26"/>
      <c r="T72" s="26"/>
      <c r="U72" s="26">
        <v>291</v>
      </c>
      <c r="V72" s="26"/>
      <c r="W72" s="35"/>
      <c r="X72" s="36"/>
      <c r="Y72" s="36"/>
      <c r="Z72" s="36"/>
      <c r="AA72" s="62">
        <f t="shared" si="24"/>
        <v>284.7</v>
      </c>
      <c r="AB72" s="63"/>
      <c r="AC72" s="63"/>
      <c r="AD72" s="63"/>
      <c r="AE72" s="65"/>
      <c r="AF72" s="65"/>
      <c r="AG72" s="65"/>
      <c r="AH72" s="65"/>
      <c r="AI72" s="63">
        <f t="shared" si="25"/>
        <v>284.7</v>
      </c>
      <c r="AJ72" s="65"/>
      <c r="AK72" s="65"/>
      <c r="AL72" s="65"/>
      <c r="AM72" s="65"/>
      <c r="AN72" s="65"/>
      <c r="AO72" s="65"/>
      <c r="AP72" s="65"/>
      <c r="AQ72" s="65"/>
      <c r="AR72" s="65"/>
      <c r="AS72" s="65">
        <v>284.7</v>
      </c>
      <c r="AT72" s="65"/>
      <c r="AU72" s="65"/>
      <c r="AV72" s="65"/>
      <c r="AW72" s="65"/>
      <c r="AX72" s="65">
        <v>0</v>
      </c>
      <c r="AY72" s="65"/>
      <c r="AZ72" s="65">
        <v>0</v>
      </c>
      <c r="BA72" s="65"/>
      <c r="BB72" s="32"/>
    </row>
    <row r="73" spans="1:54" s="31" customFormat="1" ht="24" customHeight="1">
      <c r="A73" s="33">
        <v>5</v>
      </c>
      <c r="B73" s="33" t="s">
        <v>1018</v>
      </c>
      <c r="C73" s="26">
        <f t="shared" si="21"/>
        <v>838</v>
      </c>
      <c r="D73" s="26">
        <f t="shared" si="22"/>
        <v>0</v>
      </c>
      <c r="E73" s="26"/>
      <c r="F73" s="26"/>
      <c r="G73" s="26"/>
      <c r="H73" s="26"/>
      <c r="I73" s="26"/>
      <c r="J73" s="26"/>
      <c r="K73" s="26">
        <f t="shared" si="23"/>
        <v>838</v>
      </c>
      <c r="L73" s="26"/>
      <c r="M73" s="26">
        <v>20</v>
      </c>
      <c r="N73" s="26"/>
      <c r="O73" s="26"/>
      <c r="P73" s="26"/>
      <c r="Q73" s="26"/>
      <c r="R73" s="26"/>
      <c r="S73" s="26"/>
      <c r="T73" s="26"/>
      <c r="U73" s="26">
        <v>818</v>
      </c>
      <c r="V73" s="26"/>
      <c r="W73" s="35"/>
      <c r="X73" s="36"/>
      <c r="Y73" s="36"/>
      <c r="Z73" s="36"/>
      <c r="AA73" s="62">
        <f t="shared" si="24"/>
        <v>1046.58</v>
      </c>
      <c r="AB73" s="63"/>
      <c r="AC73" s="63"/>
      <c r="AD73" s="63"/>
      <c r="AE73" s="65"/>
      <c r="AF73" s="65"/>
      <c r="AG73" s="65"/>
      <c r="AH73" s="65"/>
      <c r="AI73" s="65">
        <f t="shared" si="25"/>
        <v>1046.58</v>
      </c>
      <c r="AJ73" s="65"/>
      <c r="AK73" s="65">
        <v>20</v>
      </c>
      <c r="AL73" s="65"/>
      <c r="AM73" s="65"/>
      <c r="AN73" s="65"/>
      <c r="AO73" s="65"/>
      <c r="AP73" s="65"/>
      <c r="AQ73" s="65"/>
      <c r="AR73" s="65"/>
      <c r="AS73" s="65">
        <v>1026.58</v>
      </c>
      <c r="AT73" s="65"/>
      <c r="AU73" s="65"/>
      <c r="AV73" s="65"/>
      <c r="AW73" s="65"/>
      <c r="AX73" s="65">
        <v>0</v>
      </c>
      <c r="AY73" s="65"/>
      <c r="AZ73" s="65">
        <v>0</v>
      </c>
      <c r="BA73" s="65"/>
      <c r="BB73" s="32"/>
    </row>
    <row r="74" spans="1:54" s="31" customFormat="1" ht="24" customHeight="1">
      <c r="A74" s="33">
        <v>6</v>
      </c>
      <c r="B74" s="33" t="s">
        <v>1019</v>
      </c>
      <c r="C74" s="26">
        <f t="shared" si="21"/>
        <v>1011</v>
      </c>
      <c r="D74" s="26">
        <f t="shared" si="22"/>
        <v>0</v>
      </c>
      <c r="E74" s="26"/>
      <c r="F74" s="26"/>
      <c r="G74" s="26"/>
      <c r="H74" s="26"/>
      <c r="I74" s="26"/>
      <c r="J74" s="26"/>
      <c r="K74" s="26">
        <f t="shared" si="23"/>
        <v>1011</v>
      </c>
      <c r="L74" s="26"/>
      <c r="M74" s="26"/>
      <c r="N74" s="26"/>
      <c r="O74" s="26"/>
      <c r="P74" s="26"/>
      <c r="Q74" s="26"/>
      <c r="R74" s="26"/>
      <c r="S74" s="26"/>
      <c r="T74" s="26"/>
      <c r="U74" s="26">
        <v>1011</v>
      </c>
      <c r="V74" s="26"/>
      <c r="W74" s="35"/>
      <c r="X74" s="36"/>
      <c r="Y74" s="36"/>
      <c r="Z74" s="36"/>
      <c r="AA74" s="62">
        <f t="shared" si="24"/>
        <v>1019.5</v>
      </c>
      <c r="AB74" s="63"/>
      <c r="AC74" s="63"/>
      <c r="AD74" s="63"/>
      <c r="AE74" s="65"/>
      <c r="AF74" s="65"/>
      <c r="AG74" s="65"/>
      <c r="AH74" s="65"/>
      <c r="AI74" s="65">
        <f t="shared" si="25"/>
        <v>1019.5</v>
      </c>
      <c r="AJ74" s="65"/>
      <c r="AK74" s="65"/>
      <c r="AL74" s="65"/>
      <c r="AM74" s="65"/>
      <c r="AN74" s="65"/>
      <c r="AO74" s="65"/>
      <c r="AP74" s="65"/>
      <c r="AQ74" s="65"/>
      <c r="AR74" s="65"/>
      <c r="AS74" s="65">
        <v>1019.5</v>
      </c>
      <c r="AT74" s="65"/>
      <c r="AU74" s="65"/>
      <c r="AV74" s="65"/>
      <c r="AW74" s="65"/>
      <c r="AX74" s="65">
        <v>0</v>
      </c>
      <c r="AY74" s="65"/>
      <c r="AZ74" s="65">
        <v>0</v>
      </c>
      <c r="BA74" s="65"/>
      <c r="BB74" s="32"/>
    </row>
    <row r="75" spans="1:54" s="31" customFormat="1" ht="24" customHeight="1">
      <c r="A75" s="33">
        <v>7</v>
      </c>
      <c r="B75" s="33" t="s">
        <v>1020</v>
      </c>
      <c r="C75" s="26">
        <f t="shared" si="21"/>
        <v>311</v>
      </c>
      <c r="D75" s="26">
        <f t="shared" si="22"/>
        <v>0</v>
      </c>
      <c r="E75" s="26"/>
      <c r="F75" s="26"/>
      <c r="G75" s="26"/>
      <c r="H75" s="26"/>
      <c r="I75" s="26"/>
      <c r="J75" s="26"/>
      <c r="K75" s="26">
        <f t="shared" si="23"/>
        <v>311</v>
      </c>
      <c r="L75" s="26"/>
      <c r="M75" s="26"/>
      <c r="N75" s="26"/>
      <c r="O75" s="26"/>
      <c r="P75" s="26"/>
      <c r="Q75" s="26"/>
      <c r="R75" s="26"/>
      <c r="S75" s="26"/>
      <c r="T75" s="26"/>
      <c r="U75" s="26">
        <v>311</v>
      </c>
      <c r="V75" s="26"/>
      <c r="W75" s="35"/>
      <c r="X75" s="36"/>
      <c r="Y75" s="36"/>
      <c r="Z75" s="36"/>
      <c r="AA75" s="62">
        <f t="shared" si="24"/>
        <v>311</v>
      </c>
      <c r="AB75" s="63"/>
      <c r="AC75" s="63"/>
      <c r="AD75" s="63"/>
      <c r="AE75" s="65"/>
      <c r="AF75" s="65"/>
      <c r="AG75" s="65"/>
      <c r="AH75" s="65"/>
      <c r="AI75" s="65">
        <f t="shared" si="25"/>
        <v>311</v>
      </c>
      <c r="AJ75" s="65"/>
      <c r="AK75" s="65"/>
      <c r="AL75" s="65"/>
      <c r="AM75" s="65"/>
      <c r="AN75" s="65"/>
      <c r="AO75" s="65"/>
      <c r="AP75" s="65"/>
      <c r="AQ75" s="65"/>
      <c r="AR75" s="65"/>
      <c r="AS75" s="65">
        <v>311</v>
      </c>
      <c r="AT75" s="65"/>
      <c r="AU75" s="65"/>
      <c r="AV75" s="65"/>
      <c r="AW75" s="65"/>
      <c r="AX75" s="65">
        <v>0</v>
      </c>
      <c r="AY75" s="65"/>
      <c r="AZ75" s="65">
        <v>0</v>
      </c>
      <c r="BA75" s="65"/>
      <c r="BB75" s="32"/>
    </row>
    <row r="76" spans="1:54" s="31" customFormat="1" ht="24" customHeight="1">
      <c r="A76" s="33">
        <v>8</v>
      </c>
      <c r="B76" s="33" t="s">
        <v>1021</v>
      </c>
      <c r="C76" s="26">
        <f t="shared" si="21"/>
        <v>401</v>
      </c>
      <c r="D76" s="26">
        <f t="shared" si="22"/>
        <v>0</v>
      </c>
      <c r="E76" s="26"/>
      <c r="F76" s="26"/>
      <c r="G76" s="26"/>
      <c r="H76" s="26"/>
      <c r="I76" s="26"/>
      <c r="J76" s="26"/>
      <c r="K76" s="26">
        <f t="shared" si="23"/>
        <v>401</v>
      </c>
      <c r="L76" s="26"/>
      <c r="M76" s="26"/>
      <c r="N76" s="26"/>
      <c r="O76" s="26"/>
      <c r="P76" s="26"/>
      <c r="Q76" s="26"/>
      <c r="R76" s="26"/>
      <c r="S76" s="26"/>
      <c r="T76" s="26"/>
      <c r="U76" s="26">
        <v>401</v>
      </c>
      <c r="V76" s="26"/>
      <c r="W76" s="44"/>
      <c r="X76" s="44"/>
      <c r="Y76" s="44"/>
      <c r="Z76" s="44"/>
      <c r="AA76" s="62">
        <f t="shared" si="24"/>
        <v>404</v>
      </c>
      <c r="AB76" s="63"/>
      <c r="AC76" s="63"/>
      <c r="AD76" s="63"/>
      <c r="AE76" s="65"/>
      <c r="AF76" s="65"/>
      <c r="AG76" s="65"/>
      <c r="AH76" s="65"/>
      <c r="AI76" s="65">
        <f t="shared" si="25"/>
        <v>404</v>
      </c>
      <c r="AJ76" s="65"/>
      <c r="AK76" s="65"/>
      <c r="AL76" s="65"/>
      <c r="AM76" s="65"/>
      <c r="AN76" s="65"/>
      <c r="AO76" s="65"/>
      <c r="AP76" s="65"/>
      <c r="AQ76" s="65"/>
      <c r="AR76" s="65"/>
      <c r="AS76" s="65">
        <v>404</v>
      </c>
      <c r="AT76" s="65"/>
      <c r="AU76" s="65"/>
      <c r="AV76" s="65"/>
      <c r="AW76" s="65"/>
      <c r="AX76" s="65">
        <v>0</v>
      </c>
      <c r="AY76" s="65"/>
      <c r="AZ76" s="65">
        <v>0</v>
      </c>
      <c r="BA76" s="65"/>
      <c r="BB76" s="32"/>
    </row>
    <row r="77" spans="1:54" s="31" customFormat="1" ht="24" customHeight="1">
      <c r="A77" s="33">
        <v>9</v>
      </c>
      <c r="B77" s="33" t="s">
        <v>1022</v>
      </c>
      <c r="C77" s="26">
        <f t="shared" si="21"/>
        <v>795</v>
      </c>
      <c r="D77" s="26">
        <f t="shared" si="22"/>
        <v>0</v>
      </c>
      <c r="E77" s="26"/>
      <c r="F77" s="26"/>
      <c r="G77" s="26"/>
      <c r="H77" s="26"/>
      <c r="I77" s="26"/>
      <c r="J77" s="26"/>
      <c r="K77" s="26">
        <f t="shared" si="23"/>
        <v>705</v>
      </c>
      <c r="L77" s="26"/>
      <c r="M77" s="26"/>
      <c r="N77" s="26"/>
      <c r="O77" s="26"/>
      <c r="P77" s="26"/>
      <c r="Q77" s="26"/>
      <c r="R77" s="26"/>
      <c r="S77" s="26"/>
      <c r="T77" s="26"/>
      <c r="U77" s="26">
        <v>705</v>
      </c>
      <c r="V77" s="26"/>
      <c r="W77" s="44"/>
      <c r="X77" s="44"/>
      <c r="Y77" s="44"/>
      <c r="Z77" s="44">
        <v>90</v>
      </c>
      <c r="AA77" s="68">
        <f t="shared" si="24"/>
        <v>784.3</v>
      </c>
      <c r="AB77" s="65"/>
      <c r="AC77" s="65"/>
      <c r="AD77" s="65"/>
      <c r="AE77" s="65"/>
      <c r="AF77" s="65"/>
      <c r="AG77" s="65"/>
      <c r="AH77" s="65"/>
      <c r="AI77" s="65">
        <f t="shared" si="25"/>
        <v>694.3</v>
      </c>
      <c r="AJ77" s="65"/>
      <c r="AK77" s="65"/>
      <c r="AL77" s="65"/>
      <c r="AM77" s="65"/>
      <c r="AN77" s="65"/>
      <c r="AO77" s="65"/>
      <c r="AP77" s="65"/>
      <c r="AQ77" s="65"/>
      <c r="AR77" s="65"/>
      <c r="AS77" s="65">
        <v>694.3</v>
      </c>
      <c r="AT77" s="65"/>
      <c r="AU77" s="65"/>
      <c r="AV77" s="65"/>
      <c r="AW77" s="65"/>
      <c r="AX77" s="65">
        <v>0</v>
      </c>
      <c r="AY77" s="65"/>
      <c r="AZ77" s="65">
        <v>0</v>
      </c>
      <c r="BA77" s="65">
        <v>90</v>
      </c>
      <c r="BB77" s="32"/>
    </row>
    <row r="78" spans="1:54" s="31" customFormat="1" ht="24" customHeight="1">
      <c r="A78" s="33">
        <v>10</v>
      </c>
      <c r="B78" s="33" t="s">
        <v>1023</v>
      </c>
      <c r="C78" s="26">
        <f t="shared" si="21"/>
        <v>0</v>
      </c>
      <c r="D78" s="26"/>
      <c r="E78" s="26"/>
      <c r="F78" s="26"/>
      <c r="G78" s="26"/>
      <c r="H78" s="26"/>
      <c r="I78" s="26"/>
      <c r="J78" s="26"/>
      <c r="K78" s="26">
        <f t="shared" si="23"/>
        <v>0</v>
      </c>
      <c r="L78" s="26"/>
      <c r="M78" s="26"/>
      <c r="N78" s="26"/>
      <c r="O78" s="26"/>
      <c r="P78" s="26"/>
      <c r="Q78" s="26"/>
      <c r="R78" s="26"/>
      <c r="S78" s="26"/>
      <c r="T78" s="26"/>
      <c r="U78" s="26"/>
      <c r="V78" s="26"/>
      <c r="W78" s="44"/>
      <c r="X78" s="44"/>
      <c r="Y78" s="44"/>
      <c r="Z78" s="44"/>
      <c r="AA78" s="68">
        <f t="shared" si="24"/>
        <v>147</v>
      </c>
      <c r="AB78" s="65"/>
      <c r="AC78" s="65"/>
      <c r="AD78" s="65"/>
      <c r="AE78" s="65"/>
      <c r="AF78" s="65"/>
      <c r="AG78" s="65"/>
      <c r="AH78" s="65"/>
      <c r="AI78" s="65">
        <f t="shared" si="25"/>
        <v>147</v>
      </c>
      <c r="AJ78" s="65"/>
      <c r="AK78" s="65"/>
      <c r="AL78" s="65"/>
      <c r="AM78" s="65"/>
      <c r="AN78" s="65"/>
      <c r="AO78" s="65"/>
      <c r="AP78" s="65"/>
      <c r="AQ78" s="65"/>
      <c r="AR78" s="65"/>
      <c r="AS78" s="65">
        <v>147</v>
      </c>
      <c r="AT78" s="65"/>
      <c r="AU78" s="65"/>
      <c r="AV78" s="65"/>
      <c r="AW78" s="65"/>
      <c r="AX78" s="65">
        <v>0</v>
      </c>
      <c r="AY78" s="65"/>
      <c r="AZ78" s="65">
        <v>0</v>
      </c>
      <c r="BA78" s="65"/>
      <c r="BB78" s="32"/>
    </row>
    <row r="79" spans="1:54" s="31" customFormat="1" ht="24" customHeight="1">
      <c r="A79" s="33">
        <v>11</v>
      </c>
      <c r="B79" s="33" t="s">
        <v>1024</v>
      </c>
      <c r="C79" s="26">
        <f t="shared" si="21"/>
        <v>82</v>
      </c>
      <c r="D79" s="26"/>
      <c r="E79" s="26"/>
      <c r="F79" s="26"/>
      <c r="G79" s="26"/>
      <c r="H79" s="26"/>
      <c r="I79" s="26"/>
      <c r="J79" s="26"/>
      <c r="K79" s="26">
        <f t="shared" si="23"/>
        <v>82</v>
      </c>
      <c r="L79" s="26"/>
      <c r="M79" s="26"/>
      <c r="N79" s="26"/>
      <c r="O79" s="26"/>
      <c r="P79" s="26"/>
      <c r="Q79" s="26"/>
      <c r="R79" s="26"/>
      <c r="S79" s="26"/>
      <c r="T79" s="26"/>
      <c r="U79" s="26">
        <v>82</v>
      </c>
      <c r="V79" s="26"/>
      <c r="W79" s="44"/>
      <c r="X79" s="44"/>
      <c r="Y79" s="44"/>
      <c r="Z79" s="44"/>
      <c r="AA79" s="68">
        <f t="shared" si="24"/>
        <v>261.99</v>
      </c>
      <c r="AB79" s="65"/>
      <c r="AC79" s="65"/>
      <c r="AD79" s="65"/>
      <c r="AE79" s="65"/>
      <c r="AF79" s="65"/>
      <c r="AG79" s="65"/>
      <c r="AH79" s="65"/>
      <c r="AI79" s="65">
        <f t="shared" si="25"/>
        <v>261.99</v>
      </c>
      <c r="AJ79" s="65"/>
      <c r="AK79" s="65"/>
      <c r="AL79" s="65"/>
      <c r="AM79" s="65"/>
      <c r="AN79" s="65"/>
      <c r="AO79" s="65"/>
      <c r="AP79" s="65"/>
      <c r="AQ79" s="65"/>
      <c r="AR79" s="65"/>
      <c r="AS79" s="65">
        <v>261.99</v>
      </c>
      <c r="AT79" s="65"/>
      <c r="AU79" s="65"/>
      <c r="AV79" s="65"/>
      <c r="AW79" s="65"/>
      <c r="AX79" s="65">
        <v>0</v>
      </c>
      <c r="AY79" s="65"/>
      <c r="AZ79" s="65">
        <v>0</v>
      </c>
      <c r="BA79" s="65"/>
      <c r="BB79" s="32"/>
    </row>
    <row r="80" spans="1:54" s="31" customFormat="1" ht="24" customHeight="1">
      <c r="A80" s="45" t="s">
        <v>1012</v>
      </c>
      <c r="B80" s="45" t="s">
        <v>1025</v>
      </c>
      <c r="C80" s="46"/>
      <c r="D80" s="46"/>
      <c r="E80" s="46"/>
      <c r="F80" s="46"/>
      <c r="G80" s="46"/>
      <c r="H80" s="46"/>
      <c r="I80" s="46"/>
      <c r="J80" s="46"/>
      <c r="K80" s="46"/>
      <c r="L80" s="46"/>
      <c r="M80" s="46"/>
      <c r="N80" s="46"/>
      <c r="O80" s="46"/>
      <c r="P80" s="46"/>
      <c r="Q80" s="46"/>
      <c r="R80" s="46"/>
      <c r="S80" s="46"/>
      <c r="T80" s="46"/>
      <c r="U80" s="46"/>
      <c r="V80" s="46"/>
      <c r="W80" s="47"/>
      <c r="X80" s="47"/>
      <c r="Y80" s="47"/>
      <c r="Z80" s="47"/>
      <c r="AA80" s="47">
        <f aca="true" t="shared" si="26" ref="AA80:BA80">SUM(AA81:AA89)</f>
        <v>453871.73</v>
      </c>
      <c r="AB80" s="47">
        <f t="shared" si="26"/>
        <v>105118.47</v>
      </c>
      <c r="AC80" s="47">
        <f t="shared" si="26"/>
        <v>105118.47</v>
      </c>
      <c r="AD80" s="47">
        <f t="shared" si="26"/>
        <v>103645.47</v>
      </c>
      <c r="AE80" s="47">
        <f t="shared" si="26"/>
        <v>1473</v>
      </c>
      <c r="AF80" s="47">
        <f t="shared" si="26"/>
        <v>17672.760000000002</v>
      </c>
      <c r="AG80" s="47">
        <f t="shared" si="26"/>
        <v>2252.79</v>
      </c>
      <c r="AH80" s="47">
        <f t="shared" si="26"/>
        <v>0</v>
      </c>
      <c r="AI80" s="47">
        <f t="shared" si="26"/>
        <v>215.92</v>
      </c>
      <c r="AJ80" s="47">
        <f t="shared" si="26"/>
        <v>0</v>
      </c>
      <c r="AK80" s="47">
        <f t="shared" si="26"/>
        <v>0</v>
      </c>
      <c r="AL80" s="47">
        <f t="shared" si="26"/>
        <v>0</v>
      </c>
      <c r="AM80" s="47">
        <f t="shared" si="26"/>
        <v>0</v>
      </c>
      <c r="AN80" s="47">
        <f t="shared" si="26"/>
        <v>0</v>
      </c>
      <c r="AO80" s="47">
        <f t="shared" si="26"/>
        <v>0</v>
      </c>
      <c r="AP80" s="47">
        <f t="shared" si="26"/>
        <v>0</v>
      </c>
      <c r="AQ80" s="47">
        <f t="shared" si="26"/>
        <v>0</v>
      </c>
      <c r="AR80" s="47">
        <f t="shared" si="26"/>
        <v>0</v>
      </c>
      <c r="AS80" s="47">
        <f t="shared" si="26"/>
        <v>215.92</v>
      </c>
      <c r="AT80" s="47">
        <f t="shared" si="26"/>
        <v>0</v>
      </c>
      <c r="AU80" s="47">
        <f t="shared" si="26"/>
        <v>0</v>
      </c>
      <c r="AV80" s="47">
        <f t="shared" si="26"/>
        <v>0</v>
      </c>
      <c r="AW80" s="47">
        <f t="shared" si="26"/>
        <v>0</v>
      </c>
      <c r="AX80" s="47">
        <f t="shared" si="26"/>
        <v>0</v>
      </c>
      <c r="AY80" s="47">
        <f t="shared" si="26"/>
        <v>0</v>
      </c>
      <c r="AZ80" s="47">
        <f t="shared" si="26"/>
        <v>0</v>
      </c>
      <c r="BA80" s="47">
        <f t="shared" si="26"/>
        <v>348537.34</v>
      </c>
      <c r="BB80" s="32"/>
    </row>
    <row r="81" spans="1:54" s="31" customFormat="1" ht="24" customHeight="1">
      <c r="A81" s="33">
        <v>1</v>
      </c>
      <c r="B81" s="33" t="s">
        <v>1026</v>
      </c>
      <c r="C81" s="37"/>
      <c r="D81" s="37"/>
      <c r="E81" s="37"/>
      <c r="F81" s="37"/>
      <c r="G81" s="37"/>
      <c r="H81" s="37"/>
      <c r="I81" s="37"/>
      <c r="J81" s="37"/>
      <c r="K81" s="37"/>
      <c r="L81" s="37"/>
      <c r="M81" s="37"/>
      <c r="N81" s="37"/>
      <c r="O81" s="37"/>
      <c r="P81" s="37"/>
      <c r="Q81" s="37"/>
      <c r="R81" s="37"/>
      <c r="S81" s="37"/>
      <c r="T81" s="37"/>
      <c r="U81" s="37"/>
      <c r="V81" s="37"/>
      <c r="W81" s="36"/>
      <c r="X81" s="36"/>
      <c r="Y81" s="36"/>
      <c r="Z81" s="36"/>
      <c r="AA81" s="68">
        <f aca="true" t="shared" si="27" ref="AA81:AA89">SUM(AB81,AI81,AY81:BA81)</f>
        <v>67353.43</v>
      </c>
      <c r="AB81" s="68">
        <f aca="true" t="shared" si="28" ref="AB81:AB89">SUM(AC81,AH81)</f>
        <v>14221.94</v>
      </c>
      <c r="AC81" s="68">
        <f>SUM(AD81:AE81)</f>
        <v>14221.94</v>
      </c>
      <c r="AD81" s="68">
        <v>14221.94</v>
      </c>
      <c r="AE81" s="68"/>
      <c r="AF81" s="68">
        <v>843.93</v>
      </c>
      <c r="AG81" s="68"/>
      <c r="AH81" s="68"/>
      <c r="AI81" s="65"/>
      <c r="AJ81" s="68"/>
      <c r="AK81" s="68"/>
      <c r="AL81" s="68"/>
      <c r="AM81" s="68"/>
      <c r="AN81" s="68"/>
      <c r="AO81" s="68"/>
      <c r="AP81" s="68"/>
      <c r="AQ81" s="68"/>
      <c r="AR81" s="68"/>
      <c r="AS81" s="68"/>
      <c r="AT81" s="68"/>
      <c r="AU81" s="68"/>
      <c r="AV81" s="68"/>
      <c r="AW81" s="68"/>
      <c r="AX81" s="68"/>
      <c r="AY81" s="68"/>
      <c r="AZ81" s="68"/>
      <c r="BA81" s="68">
        <v>53131.49</v>
      </c>
      <c r="BB81" s="32"/>
    </row>
    <row r="82" spans="1:54" s="31" customFormat="1" ht="24" customHeight="1">
      <c r="A82" s="33">
        <v>2</v>
      </c>
      <c r="B82" s="33" t="s">
        <v>1027</v>
      </c>
      <c r="C82" s="37"/>
      <c r="D82" s="37"/>
      <c r="E82" s="37"/>
      <c r="F82" s="37"/>
      <c r="G82" s="37"/>
      <c r="H82" s="37"/>
      <c r="I82" s="37"/>
      <c r="J82" s="37"/>
      <c r="K82" s="37"/>
      <c r="L82" s="37"/>
      <c r="M82" s="37"/>
      <c r="N82" s="37"/>
      <c r="O82" s="37"/>
      <c r="P82" s="37"/>
      <c r="Q82" s="37"/>
      <c r="R82" s="37"/>
      <c r="S82" s="37"/>
      <c r="T82" s="37"/>
      <c r="U82" s="37"/>
      <c r="V82" s="37"/>
      <c r="W82" s="36"/>
      <c r="X82" s="36"/>
      <c r="Y82" s="36"/>
      <c r="Z82" s="36"/>
      <c r="AA82" s="68">
        <f t="shared" si="27"/>
        <v>17982.89</v>
      </c>
      <c r="AB82" s="68">
        <f t="shared" si="28"/>
        <v>7417.11</v>
      </c>
      <c r="AC82" s="68">
        <f>SUM(AD82:AE82)</f>
        <v>7417.11</v>
      </c>
      <c r="AD82" s="68">
        <v>7417.11</v>
      </c>
      <c r="AE82" s="68"/>
      <c r="AF82" s="68">
        <f>535.2</f>
        <v>535.2</v>
      </c>
      <c r="AG82" s="68">
        <v>1000</v>
      </c>
      <c r="AH82" s="68"/>
      <c r="AI82" s="65"/>
      <c r="AJ82" s="68"/>
      <c r="AK82" s="68"/>
      <c r="AL82" s="68"/>
      <c r="AM82" s="68"/>
      <c r="AN82" s="68"/>
      <c r="AO82" s="68"/>
      <c r="AP82" s="68"/>
      <c r="AQ82" s="68"/>
      <c r="AR82" s="68"/>
      <c r="AS82" s="68"/>
      <c r="AT82" s="68"/>
      <c r="AU82" s="68"/>
      <c r="AV82" s="68"/>
      <c r="AW82" s="68"/>
      <c r="AX82" s="68"/>
      <c r="AY82" s="68"/>
      <c r="AZ82" s="68"/>
      <c r="BA82" s="68">
        <v>10565.78</v>
      </c>
      <c r="BB82" s="32"/>
    </row>
    <row r="83" spans="1:54" s="31" customFormat="1" ht="24" customHeight="1">
      <c r="A83" s="33">
        <v>3</v>
      </c>
      <c r="B83" s="33" t="s">
        <v>1028</v>
      </c>
      <c r="C83" s="37"/>
      <c r="D83" s="37"/>
      <c r="E83" s="37"/>
      <c r="F83" s="37"/>
      <c r="G83" s="37"/>
      <c r="H83" s="37"/>
      <c r="I83" s="37"/>
      <c r="J83" s="37"/>
      <c r="K83" s="37"/>
      <c r="L83" s="37"/>
      <c r="M83" s="37"/>
      <c r="N83" s="37"/>
      <c r="O83" s="37"/>
      <c r="P83" s="37"/>
      <c r="Q83" s="37"/>
      <c r="R83" s="37"/>
      <c r="S83" s="37"/>
      <c r="T83" s="37"/>
      <c r="U83" s="37"/>
      <c r="V83" s="37"/>
      <c r="W83" s="36"/>
      <c r="X83" s="36"/>
      <c r="Y83" s="36"/>
      <c r="Z83" s="36"/>
      <c r="AA83" s="68">
        <f t="shared" si="27"/>
        <v>70217.22</v>
      </c>
      <c r="AB83" s="68">
        <f t="shared" si="28"/>
        <v>5533.46</v>
      </c>
      <c r="AC83" s="68">
        <f>SUM(AD83:AE83)</f>
        <v>5533.46</v>
      </c>
      <c r="AD83" s="68">
        <v>5533.46</v>
      </c>
      <c r="AE83" s="68"/>
      <c r="AF83" s="68"/>
      <c r="AG83" s="68">
        <v>710</v>
      </c>
      <c r="AH83" s="68"/>
      <c r="AI83" s="65"/>
      <c r="AJ83" s="68"/>
      <c r="AK83" s="68"/>
      <c r="AL83" s="68"/>
      <c r="AM83" s="68"/>
      <c r="AN83" s="68"/>
      <c r="AO83" s="68"/>
      <c r="AP83" s="68"/>
      <c r="AQ83" s="68"/>
      <c r="AR83" s="68"/>
      <c r="AS83" s="68"/>
      <c r="AT83" s="68"/>
      <c r="AU83" s="68"/>
      <c r="AV83" s="68"/>
      <c r="AW83" s="68"/>
      <c r="AX83" s="68"/>
      <c r="AY83" s="68"/>
      <c r="AZ83" s="68"/>
      <c r="BA83" s="68">
        <v>64683.76</v>
      </c>
      <c r="BB83" s="32"/>
    </row>
    <row r="84" spans="1:54" s="31" customFormat="1" ht="24" customHeight="1">
      <c r="A84" s="33">
        <v>4</v>
      </c>
      <c r="B84" s="33" t="s">
        <v>1029</v>
      </c>
      <c r="C84" s="37"/>
      <c r="D84" s="37"/>
      <c r="E84" s="37"/>
      <c r="F84" s="37"/>
      <c r="G84" s="37"/>
      <c r="H84" s="37"/>
      <c r="I84" s="37"/>
      <c r="J84" s="37"/>
      <c r="K84" s="37"/>
      <c r="L84" s="37"/>
      <c r="M84" s="37"/>
      <c r="N84" s="37"/>
      <c r="O84" s="37"/>
      <c r="P84" s="37"/>
      <c r="Q84" s="37"/>
      <c r="R84" s="37"/>
      <c r="S84" s="37"/>
      <c r="T84" s="37"/>
      <c r="U84" s="37"/>
      <c r="V84" s="37"/>
      <c r="W84" s="36"/>
      <c r="X84" s="36"/>
      <c r="Y84" s="36"/>
      <c r="Z84" s="36"/>
      <c r="AA84" s="68">
        <f t="shared" si="27"/>
        <v>16602.75</v>
      </c>
      <c r="AB84" s="68">
        <f t="shared" si="28"/>
        <v>14382.67</v>
      </c>
      <c r="AC84" s="68">
        <f>SUM(AD84:AE84)</f>
        <v>14382.67</v>
      </c>
      <c r="AD84" s="68">
        <v>14382.67</v>
      </c>
      <c r="AE84" s="68"/>
      <c r="AF84" s="68">
        <v>118.69</v>
      </c>
      <c r="AG84" s="68"/>
      <c r="AH84" s="68"/>
      <c r="AI84" s="65"/>
      <c r="AJ84" s="68"/>
      <c r="AK84" s="68"/>
      <c r="AL84" s="68"/>
      <c r="AM84" s="68"/>
      <c r="AN84" s="68"/>
      <c r="AO84" s="68"/>
      <c r="AP84" s="68"/>
      <c r="AQ84" s="68"/>
      <c r="AR84" s="68"/>
      <c r="AS84" s="68"/>
      <c r="AT84" s="68"/>
      <c r="AU84" s="68"/>
      <c r="AV84" s="68"/>
      <c r="AW84" s="68"/>
      <c r="AX84" s="68"/>
      <c r="AY84" s="68"/>
      <c r="AZ84" s="68"/>
      <c r="BA84" s="68">
        <v>2220.08</v>
      </c>
      <c r="BB84" s="32"/>
    </row>
    <row r="85" spans="1:54" s="31" customFormat="1" ht="24" customHeight="1">
      <c r="A85" s="33">
        <v>5</v>
      </c>
      <c r="B85" s="33" t="s">
        <v>1030</v>
      </c>
      <c r="C85" s="37"/>
      <c r="D85" s="37"/>
      <c r="E85" s="37"/>
      <c r="F85" s="37"/>
      <c r="G85" s="37"/>
      <c r="H85" s="37"/>
      <c r="I85" s="37"/>
      <c r="J85" s="37"/>
      <c r="K85" s="37"/>
      <c r="L85" s="37"/>
      <c r="M85" s="37"/>
      <c r="N85" s="37"/>
      <c r="O85" s="37"/>
      <c r="P85" s="37"/>
      <c r="Q85" s="37"/>
      <c r="R85" s="37"/>
      <c r="S85" s="37"/>
      <c r="T85" s="37"/>
      <c r="U85" s="37"/>
      <c r="V85" s="37"/>
      <c r="W85" s="36"/>
      <c r="X85" s="36"/>
      <c r="Y85" s="36"/>
      <c r="Z85" s="36"/>
      <c r="AA85" s="68">
        <f t="shared" si="27"/>
        <v>129992.78</v>
      </c>
      <c r="AB85" s="68">
        <f t="shared" si="28"/>
        <v>13884.66</v>
      </c>
      <c r="AC85" s="68">
        <f>SUM(AD85:AE85)</f>
        <v>13884.66</v>
      </c>
      <c r="AD85" s="68">
        <v>13884.66</v>
      </c>
      <c r="AE85" s="68"/>
      <c r="AF85" s="68">
        <v>5190.93</v>
      </c>
      <c r="AG85" s="68">
        <v>542.79</v>
      </c>
      <c r="AH85" s="68"/>
      <c r="AI85" s="65">
        <f>SUM(AJ85:AW85)</f>
        <v>0</v>
      </c>
      <c r="AJ85" s="68"/>
      <c r="AK85" s="68"/>
      <c r="AL85" s="68"/>
      <c r="AM85" s="68"/>
      <c r="AN85" s="68"/>
      <c r="AO85" s="68"/>
      <c r="AP85" s="68"/>
      <c r="AQ85" s="68"/>
      <c r="AR85" s="68"/>
      <c r="AS85" s="68"/>
      <c r="AT85" s="68"/>
      <c r="AU85" s="68"/>
      <c r="AV85" s="68"/>
      <c r="AW85" s="68"/>
      <c r="AX85" s="68"/>
      <c r="AY85" s="68"/>
      <c r="AZ85" s="68"/>
      <c r="BA85" s="68">
        <v>116108.12</v>
      </c>
      <c r="BB85" s="32"/>
    </row>
    <row r="86" spans="1:54" s="31" customFormat="1" ht="24" customHeight="1">
      <c r="A86" s="33">
        <v>6</v>
      </c>
      <c r="B86" s="33" t="s">
        <v>1031</v>
      </c>
      <c r="C86" s="37"/>
      <c r="D86" s="37"/>
      <c r="E86" s="37"/>
      <c r="F86" s="37"/>
      <c r="G86" s="37"/>
      <c r="H86" s="37"/>
      <c r="I86" s="37"/>
      <c r="J86" s="37"/>
      <c r="K86" s="37"/>
      <c r="L86" s="37"/>
      <c r="M86" s="37"/>
      <c r="N86" s="37"/>
      <c r="O86" s="37"/>
      <c r="P86" s="37"/>
      <c r="Q86" s="37"/>
      <c r="R86" s="37"/>
      <c r="S86" s="37"/>
      <c r="T86" s="37"/>
      <c r="U86" s="37"/>
      <c r="V86" s="37"/>
      <c r="W86" s="36"/>
      <c r="X86" s="36"/>
      <c r="Y86" s="36"/>
      <c r="Z86" s="36"/>
      <c r="AA86" s="68">
        <f t="shared" si="27"/>
        <v>32709.77</v>
      </c>
      <c r="AB86" s="68"/>
      <c r="AC86" s="68"/>
      <c r="AD86" s="68"/>
      <c r="AE86" s="68"/>
      <c r="AF86" s="68"/>
      <c r="AG86" s="68"/>
      <c r="AH86" s="68"/>
      <c r="AI86" s="65"/>
      <c r="AJ86" s="68"/>
      <c r="AK86" s="68"/>
      <c r="AL86" s="68"/>
      <c r="AM86" s="68"/>
      <c r="AN86" s="68"/>
      <c r="AO86" s="68"/>
      <c r="AP86" s="68"/>
      <c r="AQ86" s="68"/>
      <c r="AR86" s="68"/>
      <c r="AS86" s="68"/>
      <c r="AT86" s="68"/>
      <c r="AU86" s="68"/>
      <c r="AV86" s="68"/>
      <c r="AW86" s="68"/>
      <c r="AX86" s="68"/>
      <c r="AY86" s="68"/>
      <c r="AZ86" s="68"/>
      <c r="BA86" s="68">
        <v>32709.77</v>
      </c>
      <c r="BB86" s="32"/>
    </row>
    <row r="87" spans="1:54" s="31" customFormat="1" ht="24" customHeight="1">
      <c r="A87" s="33">
        <v>7</v>
      </c>
      <c r="B87" s="33" t="s">
        <v>1032</v>
      </c>
      <c r="C87" s="37"/>
      <c r="D87" s="37"/>
      <c r="E87" s="37"/>
      <c r="F87" s="37"/>
      <c r="G87" s="37"/>
      <c r="H87" s="37"/>
      <c r="I87" s="37"/>
      <c r="J87" s="37"/>
      <c r="K87" s="37"/>
      <c r="L87" s="37"/>
      <c r="M87" s="37"/>
      <c r="N87" s="37"/>
      <c r="O87" s="37"/>
      <c r="P87" s="37"/>
      <c r="Q87" s="37"/>
      <c r="R87" s="37"/>
      <c r="S87" s="37"/>
      <c r="T87" s="37"/>
      <c r="U87" s="37"/>
      <c r="V87" s="37"/>
      <c r="W87" s="36"/>
      <c r="X87" s="36"/>
      <c r="Y87" s="36"/>
      <c r="Z87" s="36"/>
      <c r="AA87" s="68">
        <f t="shared" si="27"/>
        <v>28358.88</v>
      </c>
      <c r="AB87" s="68">
        <f t="shared" si="28"/>
        <v>27867.48</v>
      </c>
      <c r="AC87" s="68">
        <f>SUM(AD87:AE87)</f>
        <v>27867.48</v>
      </c>
      <c r="AD87" s="68">
        <v>27867.48</v>
      </c>
      <c r="AE87" s="68"/>
      <c r="AF87" s="68">
        <v>4023</v>
      </c>
      <c r="AG87" s="68"/>
      <c r="AH87" s="68"/>
      <c r="AI87" s="65"/>
      <c r="AJ87" s="68"/>
      <c r="AK87" s="68"/>
      <c r="AL87" s="68"/>
      <c r="AM87" s="68"/>
      <c r="AN87" s="68"/>
      <c r="AO87" s="68"/>
      <c r="AP87" s="68"/>
      <c r="AQ87" s="68"/>
      <c r="AR87" s="68"/>
      <c r="AS87" s="68"/>
      <c r="AT87" s="68"/>
      <c r="AU87" s="68"/>
      <c r="AV87" s="68"/>
      <c r="AW87" s="68"/>
      <c r="AX87" s="68"/>
      <c r="AY87" s="68"/>
      <c r="AZ87" s="68"/>
      <c r="BA87" s="68">
        <v>491.4</v>
      </c>
      <c r="BB87" s="32"/>
    </row>
    <row r="88" spans="1:54" s="31" customFormat="1" ht="24" customHeight="1">
      <c r="A88" s="33">
        <v>8</v>
      </c>
      <c r="B88" s="33" t="s">
        <v>1033</v>
      </c>
      <c r="C88" s="37"/>
      <c r="D88" s="37"/>
      <c r="E88" s="37"/>
      <c r="F88" s="37"/>
      <c r="G88" s="37"/>
      <c r="H88" s="37"/>
      <c r="I88" s="37"/>
      <c r="J88" s="37"/>
      <c r="K88" s="37"/>
      <c r="L88" s="37"/>
      <c r="M88" s="37"/>
      <c r="N88" s="37"/>
      <c r="O88" s="37"/>
      <c r="P88" s="37"/>
      <c r="Q88" s="37"/>
      <c r="R88" s="37"/>
      <c r="S88" s="37"/>
      <c r="T88" s="37"/>
      <c r="U88" s="37"/>
      <c r="V88" s="37"/>
      <c r="W88" s="36"/>
      <c r="X88" s="36"/>
      <c r="Y88" s="36"/>
      <c r="Z88" s="36"/>
      <c r="AA88" s="68">
        <f t="shared" si="27"/>
        <v>71281.53</v>
      </c>
      <c r="AB88" s="68">
        <f t="shared" si="28"/>
        <v>17860.69</v>
      </c>
      <c r="AC88" s="68">
        <f>SUM(AD88:AE88)</f>
        <v>17860.69</v>
      </c>
      <c r="AD88" s="68">
        <f>17860.69-1473</f>
        <v>16387.69</v>
      </c>
      <c r="AE88" s="68">
        <v>1473</v>
      </c>
      <c r="AF88" s="68">
        <f>5437.01+1473</f>
        <v>6910.01</v>
      </c>
      <c r="AG88" s="68"/>
      <c r="AH88" s="68"/>
      <c r="AI88" s="65">
        <f>SUM(AJ88:AW88)</f>
        <v>215.92</v>
      </c>
      <c r="AJ88" s="68"/>
      <c r="AK88" s="68"/>
      <c r="AL88" s="68"/>
      <c r="AM88" s="68"/>
      <c r="AN88" s="68"/>
      <c r="AO88" s="68"/>
      <c r="AP88" s="68"/>
      <c r="AQ88" s="68"/>
      <c r="AR88" s="68"/>
      <c r="AS88" s="68">
        <v>215.92</v>
      </c>
      <c r="AT88" s="68"/>
      <c r="AU88" s="68"/>
      <c r="AV88" s="68"/>
      <c r="AW88" s="68"/>
      <c r="AX88" s="68"/>
      <c r="AY88" s="68"/>
      <c r="AZ88" s="68"/>
      <c r="BA88" s="68">
        <f>17671.08+35533.84</f>
        <v>53204.92</v>
      </c>
      <c r="BB88" s="32"/>
    </row>
    <row r="89" spans="1:54" s="31" customFormat="1" ht="24" customHeight="1">
      <c r="A89" s="33">
        <v>9</v>
      </c>
      <c r="B89" s="33" t="s">
        <v>1037</v>
      </c>
      <c r="C89" s="26"/>
      <c r="D89" s="26"/>
      <c r="E89" s="26"/>
      <c r="F89" s="26"/>
      <c r="G89" s="26"/>
      <c r="H89" s="26"/>
      <c r="I89" s="26"/>
      <c r="J89" s="26"/>
      <c r="K89" s="26"/>
      <c r="L89" s="26"/>
      <c r="M89" s="26"/>
      <c r="N89" s="26"/>
      <c r="O89" s="26"/>
      <c r="P89" s="26"/>
      <c r="Q89" s="26"/>
      <c r="R89" s="26"/>
      <c r="S89" s="26"/>
      <c r="T89" s="26"/>
      <c r="U89" s="26"/>
      <c r="V89" s="26"/>
      <c r="W89" s="35"/>
      <c r="X89" s="35"/>
      <c r="Y89" s="35"/>
      <c r="Z89" s="35"/>
      <c r="AA89" s="68">
        <f t="shared" si="27"/>
        <v>19372.48</v>
      </c>
      <c r="AB89" s="68">
        <f t="shared" si="28"/>
        <v>3950.46</v>
      </c>
      <c r="AC89" s="68">
        <f>SUM(AD89:AE89)</f>
        <v>3950.46</v>
      </c>
      <c r="AD89" s="65">
        <v>3950.46</v>
      </c>
      <c r="AE89" s="65"/>
      <c r="AF89" s="65">
        <v>51</v>
      </c>
      <c r="AG89" s="65"/>
      <c r="AH89" s="65"/>
      <c r="AI89" s="65"/>
      <c r="AJ89" s="65"/>
      <c r="AK89" s="65"/>
      <c r="AL89" s="65"/>
      <c r="AM89" s="65"/>
      <c r="AN89" s="65"/>
      <c r="AO89" s="65"/>
      <c r="AP89" s="65"/>
      <c r="AQ89" s="65"/>
      <c r="AR89" s="65"/>
      <c r="AS89" s="65"/>
      <c r="AT89" s="65"/>
      <c r="AU89" s="65"/>
      <c r="AV89" s="65"/>
      <c r="AW89" s="65"/>
      <c r="AX89" s="65"/>
      <c r="AY89" s="65"/>
      <c r="AZ89" s="65"/>
      <c r="BA89" s="65">
        <v>15422.02</v>
      </c>
      <c r="BB89" s="32"/>
    </row>
    <row r="90" spans="1:53" ht="16.5" customHeight="1">
      <c r="A90" s="651"/>
      <c r="B90" s="651"/>
      <c r="C90" s="48"/>
      <c r="D90" s="48"/>
      <c r="E90" s="48"/>
      <c r="F90" s="48"/>
      <c r="G90" s="48"/>
      <c r="H90" s="48"/>
      <c r="I90" s="48"/>
      <c r="J90" s="48"/>
      <c r="K90" s="48"/>
      <c r="L90" s="48"/>
      <c r="M90" s="48"/>
      <c r="N90" s="48"/>
      <c r="O90" s="48"/>
      <c r="P90" s="48"/>
      <c r="Q90" s="48"/>
      <c r="R90" s="48"/>
      <c r="S90" s="48"/>
      <c r="T90" s="48"/>
      <c r="U90" s="48"/>
      <c r="V90" s="48"/>
      <c r="W90" s="48"/>
      <c r="X90" s="48"/>
      <c r="Y90" s="48"/>
      <c r="Z90" s="48"/>
      <c r="AA90" s="49"/>
      <c r="AB90" s="49"/>
      <c r="AC90" s="49"/>
      <c r="AD90" s="49"/>
      <c r="AE90" s="49"/>
      <c r="AF90" s="49"/>
      <c r="AG90" s="49"/>
      <c r="AH90" s="49"/>
      <c r="AI90" s="49"/>
      <c r="AJ90" s="49"/>
      <c r="AK90" s="49"/>
      <c r="AL90" s="49"/>
      <c r="AM90" s="49"/>
      <c r="AN90" s="49"/>
      <c r="AO90" s="49"/>
      <c r="AP90" s="49"/>
      <c r="AQ90" s="49"/>
      <c r="AR90" s="49"/>
      <c r="AS90" s="49"/>
      <c r="AT90" s="49"/>
      <c r="AU90" s="49"/>
      <c r="AV90" s="49"/>
      <c r="AW90" s="49"/>
      <c r="AX90" s="49"/>
      <c r="AY90" s="75"/>
      <c r="AZ90" s="75"/>
      <c r="BA90" s="75"/>
    </row>
    <row r="91" spans="1:53" ht="16.5" customHeight="1">
      <c r="A91" s="31"/>
      <c r="B91" s="31"/>
      <c r="C91" s="3"/>
      <c r="D91" s="3"/>
      <c r="E91" s="3"/>
      <c r="F91" s="3"/>
      <c r="G91" s="3"/>
      <c r="H91" s="3"/>
      <c r="I91" s="3"/>
      <c r="J91" s="3"/>
      <c r="K91" s="3"/>
      <c r="L91" s="3"/>
      <c r="M91" s="3"/>
      <c r="N91" s="3"/>
      <c r="O91" s="3"/>
      <c r="P91" s="3"/>
      <c r="Q91" s="3"/>
      <c r="R91" s="3"/>
      <c r="S91" s="3"/>
      <c r="T91" s="3"/>
      <c r="U91" s="50"/>
      <c r="V91" s="3"/>
      <c r="W91" s="3"/>
      <c r="Y91" s="3"/>
      <c r="Z91" s="3"/>
      <c r="AA91" s="51"/>
      <c r="AB91" s="52"/>
      <c r="AC91" s="53"/>
      <c r="AD91" s="52"/>
      <c r="AE91" s="52"/>
      <c r="AF91" s="52"/>
      <c r="AG91" s="52"/>
      <c r="AH91" s="52"/>
      <c r="AI91" s="54"/>
      <c r="AJ91" s="51"/>
      <c r="AK91" s="51"/>
      <c r="AL91" s="51"/>
      <c r="AM91" s="51"/>
      <c r="AN91" s="51"/>
      <c r="AO91" s="51"/>
      <c r="AP91" s="51"/>
      <c r="AQ91" s="51"/>
      <c r="AR91" s="51"/>
      <c r="AS91" s="51"/>
      <c r="AT91" s="51"/>
      <c r="AU91" s="51"/>
      <c r="AV91" s="51"/>
      <c r="AW91" s="51"/>
      <c r="AX91" s="51"/>
      <c r="AY91" s="4"/>
      <c r="AZ91" s="4"/>
      <c r="BA91" s="4"/>
    </row>
    <row r="92" spans="1:53" ht="16.5" customHeight="1">
      <c r="A92" s="31"/>
      <c r="B92" s="31"/>
      <c r="C92" s="3"/>
      <c r="D92" s="3"/>
      <c r="E92" s="3"/>
      <c r="F92" s="3"/>
      <c r="G92" s="3"/>
      <c r="H92" s="3"/>
      <c r="I92" s="3"/>
      <c r="J92" s="3"/>
      <c r="K92" s="3"/>
      <c r="L92" s="3"/>
      <c r="M92" s="3"/>
      <c r="N92" s="3"/>
      <c r="O92" s="3"/>
      <c r="P92" s="3"/>
      <c r="Q92" s="3"/>
      <c r="R92" s="3"/>
      <c r="S92" s="3"/>
      <c r="T92" s="3"/>
      <c r="U92" s="50"/>
      <c r="V92" s="3"/>
      <c r="W92" s="3"/>
      <c r="Y92" s="3"/>
      <c r="Z92" s="3"/>
      <c r="AA92" s="51"/>
      <c r="AB92" s="52"/>
      <c r="AC92" s="53"/>
      <c r="AD92" s="52"/>
      <c r="AE92" s="52"/>
      <c r="AF92" s="52"/>
      <c r="AG92" s="52"/>
      <c r="AH92" s="52"/>
      <c r="AI92" s="54"/>
      <c r="AJ92" s="51"/>
      <c r="AK92" s="51"/>
      <c r="AL92" s="1166"/>
      <c r="AM92" s="1166"/>
      <c r="AN92" s="1166"/>
      <c r="AO92" s="1166"/>
      <c r="AP92" s="1166"/>
      <c r="AQ92" s="51"/>
      <c r="AR92" s="51"/>
      <c r="AS92" s="51"/>
      <c r="AT92" s="51"/>
      <c r="AU92" s="51"/>
      <c r="AV92" s="51"/>
      <c r="AW92" s="51"/>
      <c r="AX92" s="51"/>
      <c r="AY92" s="4"/>
      <c r="AZ92" s="4"/>
      <c r="BA92" s="4"/>
    </row>
    <row r="93" spans="1:53" ht="16.5" customHeight="1">
      <c r="A93" s="31"/>
      <c r="B93" s="31"/>
      <c r="C93" s="3"/>
      <c r="D93" s="3"/>
      <c r="E93" s="3"/>
      <c r="F93" s="3"/>
      <c r="G93" s="3"/>
      <c r="H93" s="3"/>
      <c r="I93" s="3"/>
      <c r="J93" s="3"/>
      <c r="K93" s="3"/>
      <c r="L93" s="3"/>
      <c r="M93" s="3"/>
      <c r="N93" s="3"/>
      <c r="O93" s="3"/>
      <c r="P93" s="3"/>
      <c r="Q93" s="3"/>
      <c r="R93" s="3"/>
      <c r="S93" s="3"/>
      <c r="T93" s="3"/>
      <c r="U93" s="50"/>
      <c r="V93" s="3"/>
      <c r="W93" s="3"/>
      <c r="Y93" s="3"/>
      <c r="Z93" s="3"/>
      <c r="AA93" s="51"/>
      <c r="AB93" s="52"/>
      <c r="AC93" s="53"/>
      <c r="AD93" s="52"/>
      <c r="AE93" s="52"/>
      <c r="AF93" s="52"/>
      <c r="AG93" s="52"/>
      <c r="AH93" s="52"/>
      <c r="AI93" s="54"/>
      <c r="AJ93" s="51"/>
      <c r="AK93" s="51"/>
      <c r="AL93" s="1167"/>
      <c r="AM93" s="1167"/>
      <c r="AN93" s="1167"/>
      <c r="AO93" s="1167"/>
      <c r="AP93" s="1167"/>
      <c r="AQ93" s="51"/>
      <c r="AR93" s="51"/>
      <c r="AS93" s="51"/>
      <c r="AT93" s="51"/>
      <c r="AU93" s="51"/>
      <c r="AV93" s="51"/>
      <c r="AW93" s="51"/>
      <c r="AX93" s="51"/>
      <c r="AY93" s="4"/>
      <c r="AZ93" s="4"/>
      <c r="BA93" s="4"/>
    </row>
    <row r="94" spans="1:53" ht="16.5" customHeight="1">
      <c r="A94" s="31"/>
      <c r="B94" s="31"/>
      <c r="C94" s="3"/>
      <c r="D94" s="3"/>
      <c r="E94" s="3"/>
      <c r="F94" s="3"/>
      <c r="G94" s="3"/>
      <c r="H94" s="3"/>
      <c r="I94" s="3"/>
      <c r="J94" s="3"/>
      <c r="K94" s="3"/>
      <c r="L94" s="3"/>
      <c r="M94" s="3"/>
      <c r="N94" s="3"/>
      <c r="O94" s="3"/>
      <c r="P94" s="3"/>
      <c r="Q94" s="3"/>
      <c r="R94" s="3"/>
      <c r="S94" s="3"/>
      <c r="T94" s="3"/>
      <c r="U94" s="50"/>
      <c r="V94" s="3"/>
      <c r="W94" s="3"/>
      <c r="Y94" s="3"/>
      <c r="Z94" s="3"/>
      <c r="AA94" s="51"/>
      <c r="AB94" s="52"/>
      <c r="AC94" s="53"/>
      <c r="AD94" s="52"/>
      <c r="AE94" s="52"/>
      <c r="AF94" s="52"/>
      <c r="AG94" s="52"/>
      <c r="AH94" s="52"/>
      <c r="AI94" s="54"/>
      <c r="AJ94" s="51"/>
      <c r="AK94" s="51"/>
      <c r="AL94" s="51"/>
      <c r="AM94" s="51"/>
      <c r="AN94" s="51"/>
      <c r="AO94" s="51"/>
      <c r="AP94" s="51"/>
      <c r="AQ94" s="51"/>
      <c r="AR94" s="51"/>
      <c r="AS94" s="51"/>
      <c r="AT94" s="51"/>
      <c r="AU94" s="51"/>
      <c r="AV94" s="51"/>
      <c r="AW94" s="51"/>
      <c r="AX94" s="51"/>
      <c r="AY94" s="4"/>
      <c r="AZ94" s="4"/>
      <c r="BA94" s="4"/>
    </row>
    <row r="95" spans="1:53" ht="16.5" customHeight="1">
      <c r="A95" s="31"/>
      <c r="B95" s="31"/>
      <c r="C95" s="3"/>
      <c r="D95" s="3"/>
      <c r="E95" s="3"/>
      <c r="F95" s="3"/>
      <c r="G95" s="3"/>
      <c r="H95" s="3"/>
      <c r="I95" s="3"/>
      <c r="J95" s="3"/>
      <c r="K95" s="3"/>
      <c r="L95" s="3"/>
      <c r="M95" s="3"/>
      <c r="N95" s="3"/>
      <c r="O95" s="3"/>
      <c r="P95" s="3"/>
      <c r="Q95" s="3"/>
      <c r="R95" s="3"/>
      <c r="S95" s="3"/>
      <c r="T95" s="3"/>
      <c r="U95" s="50"/>
      <c r="V95" s="3"/>
      <c r="W95" s="3"/>
      <c r="Y95" s="3"/>
      <c r="Z95" s="3"/>
      <c r="AA95" s="51"/>
      <c r="AB95" s="52"/>
      <c r="AC95" s="53"/>
      <c r="AD95" s="52"/>
      <c r="AE95" s="52"/>
      <c r="AF95" s="52"/>
      <c r="AG95" s="52"/>
      <c r="AH95" s="52"/>
      <c r="AI95" s="54"/>
      <c r="AJ95" s="51"/>
      <c r="AK95" s="51"/>
      <c r="AL95" s="51"/>
      <c r="AM95" s="51"/>
      <c r="AN95" s="51"/>
      <c r="AO95" s="51"/>
      <c r="AP95" s="51"/>
      <c r="AQ95" s="51"/>
      <c r="AR95" s="51"/>
      <c r="AS95" s="51"/>
      <c r="AT95" s="51"/>
      <c r="AU95" s="51"/>
      <c r="AV95" s="51"/>
      <c r="AW95" s="51"/>
      <c r="AX95" s="51"/>
      <c r="AY95" s="4"/>
      <c r="AZ95" s="4"/>
      <c r="BA95" s="4"/>
    </row>
    <row r="96" spans="1:53" ht="16.5" customHeight="1">
      <c r="A96" s="31"/>
      <c r="B96" s="31"/>
      <c r="C96" s="3"/>
      <c r="D96" s="3"/>
      <c r="E96" s="3"/>
      <c r="F96" s="3"/>
      <c r="G96" s="3"/>
      <c r="H96" s="3"/>
      <c r="I96" s="3"/>
      <c r="J96" s="3"/>
      <c r="K96" s="3"/>
      <c r="L96" s="3"/>
      <c r="M96" s="3"/>
      <c r="N96" s="3"/>
      <c r="O96" s="3"/>
      <c r="P96" s="3"/>
      <c r="Q96" s="3"/>
      <c r="R96" s="3"/>
      <c r="S96" s="3"/>
      <c r="T96" s="3"/>
      <c r="U96" s="50"/>
      <c r="V96" s="3"/>
      <c r="W96" s="3"/>
      <c r="Y96" s="3"/>
      <c r="Z96" s="3"/>
      <c r="AA96" s="51"/>
      <c r="AB96" s="52"/>
      <c r="AC96" s="53"/>
      <c r="AD96" s="52"/>
      <c r="AE96" s="52"/>
      <c r="AF96" s="52"/>
      <c r="AG96" s="52"/>
      <c r="AH96" s="52"/>
      <c r="AI96" s="54"/>
      <c r="AJ96" s="51"/>
      <c r="AK96" s="51"/>
      <c r="AL96" s="51"/>
      <c r="AM96" s="51"/>
      <c r="AN96" s="51"/>
      <c r="AO96" s="51"/>
      <c r="AP96" s="51"/>
      <c r="AQ96" s="51"/>
      <c r="AR96" s="51"/>
      <c r="AS96" s="51"/>
      <c r="AT96" s="51"/>
      <c r="AU96" s="51"/>
      <c r="AV96" s="51"/>
      <c r="AW96" s="51"/>
      <c r="AX96" s="51"/>
      <c r="AY96" s="4"/>
      <c r="AZ96" s="4"/>
      <c r="BA96" s="4"/>
    </row>
    <row r="97" spans="1:53" ht="16.5" customHeight="1">
      <c r="A97" s="31"/>
      <c r="B97" s="31"/>
      <c r="C97" s="3"/>
      <c r="D97" s="3"/>
      <c r="E97" s="3"/>
      <c r="F97" s="3"/>
      <c r="G97" s="3"/>
      <c r="H97" s="3"/>
      <c r="I97" s="3"/>
      <c r="J97" s="3"/>
      <c r="K97" s="3"/>
      <c r="L97" s="3"/>
      <c r="M97" s="3"/>
      <c r="N97" s="3"/>
      <c r="O97" s="3"/>
      <c r="P97" s="3"/>
      <c r="Q97" s="3"/>
      <c r="R97" s="3"/>
      <c r="S97" s="3"/>
      <c r="T97" s="3"/>
      <c r="U97" s="50"/>
      <c r="V97" s="3"/>
      <c r="W97" s="3"/>
      <c r="Y97" s="3"/>
      <c r="Z97" s="3"/>
      <c r="AA97" s="51"/>
      <c r="AB97" s="52"/>
      <c r="AC97" s="53"/>
      <c r="AD97" s="52"/>
      <c r="AE97" s="52"/>
      <c r="AF97" s="52"/>
      <c r="AG97" s="52"/>
      <c r="AH97" s="52"/>
      <c r="AI97" s="54"/>
      <c r="AJ97" s="51"/>
      <c r="AK97" s="51"/>
      <c r="AL97" s="51"/>
      <c r="AM97" s="51"/>
      <c r="AN97" s="51"/>
      <c r="AO97" s="51"/>
      <c r="AP97" s="51"/>
      <c r="AQ97" s="51"/>
      <c r="AR97" s="51"/>
      <c r="AS97" s="51"/>
      <c r="AT97" s="51"/>
      <c r="AU97" s="51"/>
      <c r="AV97" s="51"/>
      <c r="AW97" s="51"/>
      <c r="AX97" s="51"/>
      <c r="AY97" s="4"/>
      <c r="AZ97" s="4"/>
      <c r="BA97" s="4"/>
    </row>
    <row r="98" spans="1:53" ht="16.5" customHeight="1">
      <c r="A98" s="31"/>
      <c r="B98" s="31"/>
      <c r="C98" s="3"/>
      <c r="D98" s="3"/>
      <c r="E98" s="3"/>
      <c r="F98" s="3"/>
      <c r="G98" s="3"/>
      <c r="H98" s="3"/>
      <c r="I98" s="3"/>
      <c r="J98" s="3"/>
      <c r="K98" s="3"/>
      <c r="L98" s="3"/>
      <c r="M98" s="3"/>
      <c r="N98" s="3"/>
      <c r="O98" s="3"/>
      <c r="P98" s="3"/>
      <c r="Q98" s="3"/>
      <c r="R98" s="3"/>
      <c r="S98" s="3"/>
      <c r="T98" s="3"/>
      <c r="U98" s="50"/>
      <c r="V98" s="3"/>
      <c r="W98" s="3"/>
      <c r="Y98" s="3"/>
      <c r="Z98" s="3"/>
      <c r="AA98" s="51"/>
      <c r="AB98" s="52"/>
      <c r="AC98" s="53"/>
      <c r="AD98" s="52"/>
      <c r="AE98" s="52"/>
      <c r="AF98" s="52"/>
      <c r="AG98" s="52"/>
      <c r="AH98" s="52"/>
      <c r="AI98" s="54"/>
      <c r="AJ98" s="51"/>
      <c r="AK98" s="51"/>
      <c r="AL98" s="51"/>
      <c r="AM98" s="51"/>
      <c r="AN98" s="51"/>
      <c r="AO98" s="51"/>
      <c r="AP98" s="51"/>
      <c r="AQ98" s="51"/>
      <c r="AR98" s="51"/>
      <c r="AS98" s="51"/>
      <c r="AT98" s="51"/>
      <c r="AU98" s="51"/>
      <c r="AV98" s="51"/>
      <c r="AW98" s="51"/>
      <c r="AX98" s="51"/>
      <c r="AY98" s="4"/>
      <c r="AZ98" s="4"/>
      <c r="BA98" s="4"/>
    </row>
    <row r="99" spans="1:53" ht="16.5" customHeight="1">
      <c r="A99" s="31"/>
      <c r="B99" s="31"/>
      <c r="C99" s="3"/>
      <c r="D99" s="3"/>
      <c r="E99" s="3"/>
      <c r="F99" s="3"/>
      <c r="G99" s="3"/>
      <c r="H99" s="3"/>
      <c r="I99" s="3"/>
      <c r="J99" s="3"/>
      <c r="K99" s="3"/>
      <c r="L99" s="3"/>
      <c r="M99" s="3"/>
      <c r="N99" s="3"/>
      <c r="O99" s="3"/>
      <c r="P99" s="3"/>
      <c r="Q99" s="3"/>
      <c r="R99" s="3"/>
      <c r="S99" s="3"/>
      <c r="T99" s="3"/>
      <c r="U99" s="50"/>
      <c r="V99" s="3"/>
      <c r="W99" s="3"/>
      <c r="Y99" s="3"/>
      <c r="Z99" s="3"/>
      <c r="AA99" s="51"/>
      <c r="AB99" s="52"/>
      <c r="AC99" s="53"/>
      <c r="AD99" s="52"/>
      <c r="AE99" s="52"/>
      <c r="AF99" s="52"/>
      <c r="AG99" s="52"/>
      <c r="AH99" s="52"/>
      <c r="AI99" s="54"/>
      <c r="AJ99" s="51"/>
      <c r="AK99" s="51"/>
      <c r="AL99" s="51"/>
      <c r="AM99" s="51"/>
      <c r="AN99" s="51"/>
      <c r="AO99" s="51"/>
      <c r="AP99" s="51"/>
      <c r="AQ99" s="51"/>
      <c r="AR99" s="51"/>
      <c r="AS99" s="51"/>
      <c r="AT99" s="51"/>
      <c r="AU99" s="51"/>
      <c r="AV99" s="51"/>
      <c r="AW99" s="51"/>
      <c r="AX99" s="51"/>
      <c r="AY99" s="4"/>
      <c r="AZ99" s="4"/>
      <c r="BA99" s="4"/>
    </row>
    <row r="100" spans="1:53" ht="16.5" customHeight="1">
      <c r="A100" s="31"/>
      <c r="B100" s="31"/>
      <c r="C100" s="3"/>
      <c r="D100" s="3"/>
      <c r="E100" s="3"/>
      <c r="F100" s="3"/>
      <c r="G100" s="3"/>
      <c r="H100" s="3"/>
      <c r="I100" s="3"/>
      <c r="J100" s="3"/>
      <c r="K100" s="3"/>
      <c r="L100" s="3"/>
      <c r="M100" s="3"/>
      <c r="N100" s="3"/>
      <c r="O100" s="3"/>
      <c r="P100" s="3"/>
      <c r="Q100" s="3"/>
      <c r="R100" s="3"/>
      <c r="S100" s="3"/>
      <c r="T100" s="3"/>
      <c r="U100" s="50"/>
      <c r="V100" s="3"/>
      <c r="W100" s="3"/>
      <c r="Y100" s="3"/>
      <c r="Z100" s="3"/>
      <c r="AA100" s="51"/>
      <c r="AB100" s="52"/>
      <c r="AC100" s="53"/>
      <c r="AD100" s="52"/>
      <c r="AE100" s="52"/>
      <c r="AF100" s="52"/>
      <c r="AG100" s="52"/>
      <c r="AH100" s="52"/>
      <c r="AI100" s="54"/>
      <c r="AJ100" s="51"/>
      <c r="AK100" s="51"/>
      <c r="AL100" s="51"/>
      <c r="AM100" s="51"/>
      <c r="AN100" s="51"/>
      <c r="AO100" s="51"/>
      <c r="AP100" s="51"/>
      <c r="AQ100" s="51"/>
      <c r="AR100" s="51"/>
      <c r="AS100" s="51"/>
      <c r="AT100" s="51"/>
      <c r="AU100" s="51"/>
      <c r="AV100" s="51"/>
      <c r="AW100" s="51"/>
      <c r="AX100" s="51"/>
      <c r="AY100" s="4"/>
      <c r="AZ100" s="4"/>
      <c r="BA100" s="4"/>
    </row>
    <row r="101" spans="1:53" ht="16.5" customHeight="1">
      <c r="A101" s="31"/>
      <c r="B101" s="31"/>
      <c r="C101" s="3"/>
      <c r="D101" s="3"/>
      <c r="E101" s="3"/>
      <c r="F101" s="3"/>
      <c r="G101" s="3"/>
      <c r="H101" s="3"/>
      <c r="I101" s="3"/>
      <c r="J101" s="3"/>
      <c r="K101" s="3"/>
      <c r="L101" s="3"/>
      <c r="M101" s="3"/>
      <c r="N101" s="3"/>
      <c r="O101" s="3"/>
      <c r="P101" s="3"/>
      <c r="Q101" s="3"/>
      <c r="R101" s="3"/>
      <c r="S101" s="3"/>
      <c r="T101" s="3"/>
      <c r="U101" s="50"/>
      <c r="V101" s="3"/>
      <c r="W101" s="3"/>
      <c r="Y101" s="3"/>
      <c r="Z101" s="3"/>
      <c r="AA101" s="51"/>
      <c r="AB101" s="52"/>
      <c r="AC101" s="53"/>
      <c r="AD101" s="52"/>
      <c r="AE101" s="52"/>
      <c r="AF101" s="52"/>
      <c r="AG101" s="52"/>
      <c r="AH101" s="52"/>
      <c r="AI101" s="54"/>
      <c r="AJ101" s="51"/>
      <c r="AK101" s="51"/>
      <c r="AL101" s="51"/>
      <c r="AM101" s="51"/>
      <c r="AN101" s="51"/>
      <c r="AO101" s="51"/>
      <c r="AP101" s="51"/>
      <c r="AQ101" s="51"/>
      <c r="AR101" s="51"/>
      <c r="AS101" s="51"/>
      <c r="AT101" s="51"/>
      <c r="AU101" s="51"/>
      <c r="AV101" s="51"/>
      <c r="AW101" s="51"/>
      <c r="AX101" s="51"/>
      <c r="AY101" s="4"/>
      <c r="AZ101" s="4"/>
      <c r="BA101" s="4"/>
    </row>
    <row r="102" spans="1:53" ht="16.5" customHeight="1">
      <c r="A102" s="31"/>
      <c r="B102" s="31"/>
      <c r="C102" s="3"/>
      <c r="D102" s="3"/>
      <c r="E102" s="3"/>
      <c r="F102" s="3"/>
      <c r="G102" s="3"/>
      <c r="H102" s="3"/>
      <c r="I102" s="3"/>
      <c r="J102" s="3"/>
      <c r="K102" s="3"/>
      <c r="L102" s="3"/>
      <c r="M102" s="3"/>
      <c r="N102" s="3"/>
      <c r="O102" s="3"/>
      <c r="P102" s="3"/>
      <c r="Q102" s="3"/>
      <c r="R102" s="3"/>
      <c r="S102" s="3"/>
      <c r="T102" s="3"/>
      <c r="U102" s="50"/>
      <c r="V102" s="3"/>
      <c r="W102" s="3"/>
      <c r="Y102" s="3"/>
      <c r="Z102" s="3"/>
      <c r="AA102" s="51"/>
      <c r="AB102" s="52"/>
      <c r="AC102" s="53"/>
      <c r="AD102" s="52"/>
      <c r="AE102" s="52"/>
      <c r="AF102" s="52"/>
      <c r="AG102" s="52"/>
      <c r="AH102" s="52"/>
      <c r="AI102" s="54"/>
      <c r="AJ102" s="51"/>
      <c r="AK102" s="51"/>
      <c r="AL102" s="51"/>
      <c r="AM102" s="51"/>
      <c r="AN102" s="51"/>
      <c r="AO102" s="51"/>
      <c r="AP102" s="51"/>
      <c r="AQ102" s="51"/>
      <c r="AR102" s="51"/>
      <c r="AS102" s="51"/>
      <c r="AT102" s="51"/>
      <c r="AU102" s="51"/>
      <c r="AV102" s="51"/>
      <c r="AW102" s="51"/>
      <c r="AX102" s="51"/>
      <c r="AY102" s="4"/>
      <c r="AZ102" s="4"/>
      <c r="BA102" s="4"/>
    </row>
    <row r="103" spans="1:53" ht="16.5" customHeight="1">
      <c r="A103" s="31"/>
      <c r="B103" s="31"/>
      <c r="C103" s="3"/>
      <c r="D103" s="3"/>
      <c r="E103" s="3"/>
      <c r="F103" s="3"/>
      <c r="G103" s="3"/>
      <c r="H103" s="3"/>
      <c r="I103" s="3"/>
      <c r="J103" s="3"/>
      <c r="K103" s="3"/>
      <c r="L103" s="3"/>
      <c r="M103" s="3"/>
      <c r="N103" s="3"/>
      <c r="O103" s="3"/>
      <c r="P103" s="3"/>
      <c r="Q103" s="3"/>
      <c r="R103" s="3"/>
      <c r="S103" s="3"/>
      <c r="T103" s="3"/>
      <c r="U103" s="50"/>
      <c r="V103" s="3"/>
      <c r="W103" s="3"/>
      <c r="Y103" s="3"/>
      <c r="Z103" s="3"/>
      <c r="AA103" s="51"/>
      <c r="AB103" s="52"/>
      <c r="AC103" s="53"/>
      <c r="AD103" s="52"/>
      <c r="AE103" s="52"/>
      <c r="AF103" s="52"/>
      <c r="AG103" s="52"/>
      <c r="AH103" s="52"/>
      <c r="AI103" s="54"/>
      <c r="AJ103" s="51"/>
      <c r="AK103" s="51"/>
      <c r="AL103" s="51"/>
      <c r="AM103" s="51"/>
      <c r="AN103" s="51"/>
      <c r="AO103" s="51"/>
      <c r="AP103" s="51"/>
      <c r="AQ103" s="51"/>
      <c r="AR103" s="51"/>
      <c r="AS103" s="51"/>
      <c r="AT103" s="51"/>
      <c r="AU103" s="51"/>
      <c r="AV103" s="51"/>
      <c r="AW103" s="51"/>
      <c r="AX103" s="51"/>
      <c r="AY103" s="4"/>
      <c r="AZ103" s="4"/>
      <c r="BA103" s="4"/>
    </row>
    <row r="104" spans="1:53" ht="16.5" customHeight="1">
      <c r="A104" s="31"/>
      <c r="B104" s="31"/>
      <c r="C104" s="3"/>
      <c r="D104" s="3"/>
      <c r="E104" s="3"/>
      <c r="F104" s="3"/>
      <c r="G104" s="3"/>
      <c r="H104" s="3"/>
      <c r="I104" s="3"/>
      <c r="J104" s="3"/>
      <c r="K104" s="3"/>
      <c r="L104" s="3"/>
      <c r="M104" s="3"/>
      <c r="N104" s="3"/>
      <c r="O104" s="3"/>
      <c r="P104" s="3"/>
      <c r="Q104" s="3"/>
      <c r="R104" s="3"/>
      <c r="S104" s="3"/>
      <c r="T104" s="3"/>
      <c r="U104" s="50"/>
      <c r="V104" s="3"/>
      <c r="W104" s="3"/>
      <c r="Y104" s="3"/>
      <c r="Z104" s="3"/>
      <c r="AA104" s="51"/>
      <c r="AB104" s="52"/>
      <c r="AC104" s="53"/>
      <c r="AD104" s="52"/>
      <c r="AE104" s="52"/>
      <c r="AF104" s="52"/>
      <c r="AG104" s="52"/>
      <c r="AH104" s="52"/>
      <c r="AI104" s="54"/>
      <c r="AJ104" s="51"/>
      <c r="AK104" s="51"/>
      <c r="AL104" s="51"/>
      <c r="AM104" s="51"/>
      <c r="AN104" s="51"/>
      <c r="AO104" s="51"/>
      <c r="AP104" s="51"/>
      <c r="AQ104" s="51"/>
      <c r="AR104" s="51"/>
      <c r="AS104" s="51"/>
      <c r="AT104" s="51"/>
      <c r="AU104" s="51"/>
      <c r="AV104" s="51"/>
      <c r="AW104" s="51"/>
      <c r="AX104" s="51"/>
      <c r="AY104" s="4"/>
      <c r="AZ104" s="4"/>
      <c r="BA104" s="4"/>
    </row>
    <row r="105" spans="1:53" ht="16.5" customHeight="1">
      <c r="A105" s="31"/>
      <c r="B105" s="31"/>
      <c r="C105" s="3"/>
      <c r="D105" s="3"/>
      <c r="E105" s="3"/>
      <c r="F105" s="3"/>
      <c r="G105" s="3"/>
      <c r="H105" s="3"/>
      <c r="I105" s="3"/>
      <c r="J105" s="3"/>
      <c r="K105" s="3"/>
      <c r="L105" s="3"/>
      <c r="M105" s="3"/>
      <c r="N105" s="3"/>
      <c r="O105" s="3"/>
      <c r="P105" s="3"/>
      <c r="Q105" s="3"/>
      <c r="R105" s="3"/>
      <c r="S105" s="3"/>
      <c r="T105" s="3"/>
      <c r="U105" s="50"/>
      <c r="V105" s="3"/>
      <c r="W105" s="3"/>
      <c r="Y105" s="3"/>
      <c r="Z105" s="3"/>
      <c r="AA105" s="51"/>
      <c r="AB105" s="52"/>
      <c r="AC105" s="53"/>
      <c r="AD105" s="52"/>
      <c r="AE105" s="52"/>
      <c r="AF105" s="52"/>
      <c r="AG105" s="52"/>
      <c r="AH105" s="52"/>
      <c r="AI105" s="54"/>
      <c r="AJ105" s="51"/>
      <c r="AK105" s="51"/>
      <c r="AL105" s="51"/>
      <c r="AM105" s="51"/>
      <c r="AN105" s="51"/>
      <c r="AO105" s="51"/>
      <c r="AP105" s="51"/>
      <c r="AQ105" s="51"/>
      <c r="AR105" s="51"/>
      <c r="AS105" s="51"/>
      <c r="AT105" s="51"/>
      <c r="AU105" s="51"/>
      <c r="AV105" s="51"/>
      <c r="AW105" s="51"/>
      <c r="AX105" s="51"/>
      <c r="AY105" s="4"/>
      <c r="AZ105" s="4"/>
      <c r="BA105" s="4"/>
    </row>
    <row r="106" spans="1:53" ht="16.5" customHeight="1">
      <c r="A106" s="31"/>
      <c r="B106" s="31"/>
      <c r="C106" s="3"/>
      <c r="D106" s="3"/>
      <c r="E106" s="3"/>
      <c r="F106" s="3"/>
      <c r="G106" s="3"/>
      <c r="H106" s="3"/>
      <c r="I106" s="3"/>
      <c r="J106" s="3"/>
      <c r="K106" s="3"/>
      <c r="L106" s="3"/>
      <c r="M106" s="3"/>
      <c r="N106" s="3"/>
      <c r="O106" s="3"/>
      <c r="P106" s="3"/>
      <c r="Q106" s="3"/>
      <c r="R106" s="3"/>
      <c r="S106" s="3"/>
      <c r="T106" s="3"/>
      <c r="U106" s="50"/>
      <c r="V106" s="3"/>
      <c r="W106" s="3"/>
      <c r="Y106" s="3"/>
      <c r="Z106" s="3"/>
      <c r="AA106" s="51"/>
      <c r="AB106" s="52"/>
      <c r="AC106" s="53"/>
      <c r="AD106" s="52"/>
      <c r="AE106" s="52"/>
      <c r="AF106" s="52"/>
      <c r="AG106" s="52"/>
      <c r="AH106" s="52"/>
      <c r="AI106" s="54"/>
      <c r="AJ106" s="51"/>
      <c r="AK106" s="51"/>
      <c r="AL106" s="51"/>
      <c r="AM106" s="51"/>
      <c r="AN106" s="51"/>
      <c r="AO106" s="51"/>
      <c r="AP106" s="51"/>
      <c r="AQ106" s="51"/>
      <c r="AR106" s="51"/>
      <c r="AS106" s="51"/>
      <c r="AT106" s="51"/>
      <c r="AU106" s="51"/>
      <c r="AV106" s="51"/>
      <c r="AW106" s="51"/>
      <c r="AX106" s="51"/>
      <c r="AY106" s="4"/>
      <c r="AZ106" s="4"/>
      <c r="BA106" s="4"/>
    </row>
    <row r="107" spans="1:53" ht="16.5" customHeight="1">
      <c r="A107" s="31"/>
      <c r="B107" s="31"/>
      <c r="C107" s="3"/>
      <c r="D107" s="3"/>
      <c r="E107" s="3"/>
      <c r="F107" s="3"/>
      <c r="G107" s="3"/>
      <c r="H107" s="3"/>
      <c r="I107" s="3"/>
      <c r="J107" s="3"/>
      <c r="K107" s="3"/>
      <c r="L107" s="3"/>
      <c r="M107" s="3"/>
      <c r="N107" s="3"/>
      <c r="O107" s="3"/>
      <c r="P107" s="3"/>
      <c r="Q107" s="3"/>
      <c r="R107" s="3"/>
      <c r="S107" s="3"/>
      <c r="T107" s="3"/>
      <c r="U107" s="50"/>
      <c r="V107" s="3"/>
      <c r="W107" s="3"/>
      <c r="Y107" s="3"/>
      <c r="Z107" s="3"/>
      <c r="AA107" s="51"/>
      <c r="AB107" s="52"/>
      <c r="AC107" s="53"/>
      <c r="AD107" s="52"/>
      <c r="AE107" s="52"/>
      <c r="AF107" s="52"/>
      <c r="AG107" s="52"/>
      <c r="AH107" s="52"/>
      <c r="AI107" s="54"/>
      <c r="AJ107" s="51"/>
      <c r="AK107" s="51"/>
      <c r="AL107" s="51"/>
      <c r="AM107" s="51"/>
      <c r="AN107" s="51"/>
      <c r="AO107" s="51"/>
      <c r="AP107" s="51"/>
      <c r="AQ107" s="51"/>
      <c r="AR107" s="51"/>
      <c r="AS107" s="51"/>
      <c r="AT107" s="51"/>
      <c r="AU107" s="51"/>
      <c r="AV107" s="51"/>
      <c r="AW107" s="51"/>
      <c r="AX107" s="51"/>
      <c r="AY107" s="4"/>
      <c r="AZ107" s="4"/>
      <c r="BA107" s="4"/>
    </row>
    <row r="108" spans="1:53" ht="16.5" customHeight="1">
      <c r="A108" s="31"/>
      <c r="B108" s="31"/>
      <c r="C108" s="3"/>
      <c r="D108" s="3"/>
      <c r="E108" s="3"/>
      <c r="F108" s="3"/>
      <c r="G108" s="3"/>
      <c r="H108" s="3"/>
      <c r="I108" s="3"/>
      <c r="J108" s="3"/>
      <c r="K108" s="3"/>
      <c r="L108" s="3"/>
      <c r="M108" s="3"/>
      <c r="N108" s="3"/>
      <c r="O108" s="3"/>
      <c r="P108" s="3"/>
      <c r="Q108" s="3"/>
      <c r="R108" s="3"/>
      <c r="S108" s="3"/>
      <c r="T108" s="3"/>
      <c r="U108" s="50"/>
      <c r="V108" s="3"/>
      <c r="W108" s="3"/>
      <c r="Y108" s="3"/>
      <c r="Z108" s="3"/>
      <c r="AA108" s="51"/>
      <c r="AB108" s="52"/>
      <c r="AC108" s="53"/>
      <c r="AD108" s="52"/>
      <c r="AE108" s="52"/>
      <c r="AF108" s="52"/>
      <c r="AG108" s="52"/>
      <c r="AH108" s="52"/>
      <c r="AI108" s="54"/>
      <c r="AJ108" s="51"/>
      <c r="AK108" s="51"/>
      <c r="AL108" s="51"/>
      <c r="AM108" s="51"/>
      <c r="AN108" s="51"/>
      <c r="AO108" s="51"/>
      <c r="AP108" s="51"/>
      <c r="AQ108" s="51"/>
      <c r="AR108" s="51"/>
      <c r="AS108" s="51"/>
      <c r="AT108" s="51"/>
      <c r="AU108" s="51"/>
      <c r="AV108" s="51"/>
      <c r="AW108" s="51"/>
      <c r="AX108" s="51"/>
      <c r="AY108" s="4"/>
      <c r="AZ108" s="4"/>
      <c r="BA108" s="4"/>
    </row>
    <row r="109" spans="1:53" ht="16.5" customHeight="1">
      <c r="A109" s="31"/>
      <c r="B109" s="31"/>
      <c r="C109" s="3"/>
      <c r="D109" s="3"/>
      <c r="E109" s="3"/>
      <c r="F109" s="3"/>
      <c r="G109" s="3"/>
      <c r="H109" s="3"/>
      <c r="I109" s="3"/>
      <c r="J109" s="3"/>
      <c r="K109" s="3"/>
      <c r="L109" s="3"/>
      <c r="M109" s="3"/>
      <c r="N109" s="3"/>
      <c r="O109" s="3"/>
      <c r="P109" s="3"/>
      <c r="Q109" s="3"/>
      <c r="R109" s="3"/>
      <c r="S109" s="3"/>
      <c r="T109" s="3"/>
      <c r="U109" s="50"/>
      <c r="V109" s="3"/>
      <c r="W109" s="3"/>
      <c r="Y109" s="3"/>
      <c r="Z109" s="3"/>
      <c r="AA109" s="51"/>
      <c r="AB109" s="52"/>
      <c r="AC109" s="53"/>
      <c r="AD109" s="52"/>
      <c r="AE109" s="52"/>
      <c r="AF109" s="52"/>
      <c r="AG109" s="52"/>
      <c r="AH109" s="52"/>
      <c r="AI109" s="54"/>
      <c r="AJ109" s="51"/>
      <c r="AK109" s="51"/>
      <c r="AL109" s="51"/>
      <c r="AM109" s="51"/>
      <c r="AN109" s="51"/>
      <c r="AO109" s="51"/>
      <c r="AP109" s="51"/>
      <c r="AQ109" s="51"/>
      <c r="AR109" s="51"/>
      <c r="AS109" s="51"/>
      <c r="AT109" s="51"/>
      <c r="AU109" s="51"/>
      <c r="AV109" s="51"/>
      <c r="AW109" s="51"/>
      <c r="AX109" s="51"/>
      <c r="AY109" s="4"/>
      <c r="AZ109" s="4"/>
      <c r="BA109" s="4"/>
    </row>
    <row r="110" spans="1:53" ht="16.5" customHeight="1">
      <c r="A110" s="31"/>
      <c r="B110" s="31"/>
      <c r="C110" s="3"/>
      <c r="D110" s="3"/>
      <c r="E110" s="3"/>
      <c r="F110" s="3"/>
      <c r="G110" s="3"/>
      <c r="H110" s="3"/>
      <c r="I110" s="3"/>
      <c r="J110" s="3"/>
      <c r="K110" s="3"/>
      <c r="L110" s="3"/>
      <c r="M110" s="3"/>
      <c r="N110" s="3"/>
      <c r="O110" s="3"/>
      <c r="P110" s="3"/>
      <c r="Q110" s="3"/>
      <c r="R110" s="3"/>
      <c r="S110" s="3"/>
      <c r="T110" s="3"/>
      <c r="U110" s="50"/>
      <c r="V110" s="3"/>
      <c r="W110" s="3"/>
      <c r="Y110" s="3"/>
      <c r="Z110" s="3"/>
      <c r="AA110" s="51"/>
      <c r="AB110" s="31"/>
      <c r="AC110" s="55"/>
      <c r="AD110" s="31"/>
      <c r="AE110" s="31"/>
      <c r="AF110" s="31"/>
      <c r="AG110" s="31"/>
      <c r="AH110" s="31"/>
      <c r="AI110" s="54"/>
      <c r="AJ110" s="51"/>
      <c r="AK110" s="51"/>
      <c r="AL110" s="51"/>
      <c r="AM110" s="51"/>
      <c r="AN110" s="51"/>
      <c r="AO110" s="51"/>
      <c r="AP110" s="51"/>
      <c r="AQ110" s="51"/>
      <c r="AR110" s="51"/>
      <c r="AS110" s="51"/>
      <c r="AT110" s="51"/>
      <c r="AU110" s="51"/>
      <c r="AV110" s="51"/>
      <c r="AW110" s="51"/>
      <c r="AX110" s="51"/>
      <c r="AY110" s="4"/>
      <c r="AZ110" s="4"/>
      <c r="BA110" s="4"/>
    </row>
    <row r="111" spans="1:53" ht="16.5" customHeight="1">
      <c r="A111" s="31"/>
      <c r="B111" s="31"/>
      <c r="C111" s="3"/>
      <c r="D111" s="3"/>
      <c r="E111" s="3"/>
      <c r="F111" s="3"/>
      <c r="G111" s="3"/>
      <c r="H111" s="3"/>
      <c r="I111" s="3"/>
      <c r="J111" s="3"/>
      <c r="K111" s="3"/>
      <c r="L111" s="3"/>
      <c r="M111" s="3"/>
      <c r="N111" s="3"/>
      <c r="O111" s="3"/>
      <c r="P111" s="3"/>
      <c r="Q111" s="3"/>
      <c r="R111" s="3"/>
      <c r="S111" s="3"/>
      <c r="T111" s="3"/>
      <c r="U111" s="50"/>
      <c r="V111" s="3"/>
      <c r="W111" s="3"/>
      <c r="Y111" s="3"/>
      <c r="Z111" s="3"/>
      <c r="AA111" s="51"/>
      <c r="AB111" s="31"/>
      <c r="AC111" s="55"/>
      <c r="AD111" s="31"/>
      <c r="AE111" s="31"/>
      <c r="AF111" s="31"/>
      <c r="AG111" s="31"/>
      <c r="AH111" s="31"/>
      <c r="AI111" s="54"/>
      <c r="AJ111" s="51"/>
      <c r="AK111" s="51"/>
      <c r="AL111" s="51"/>
      <c r="AM111" s="51"/>
      <c r="AN111" s="51"/>
      <c r="AO111" s="51"/>
      <c r="AP111" s="51"/>
      <c r="AQ111" s="51"/>
      <c r="AR111" s="51"/>
      <c r="AS111" s="51"/>
      <c r="AT111" s="51"/>
      <c r="AU111" s="51"/>
      <c r="AV111" s="51"/>
      <c r="AW111" s="51"/>
      <c r="AX111" s="51"/>
      <c r="AY111" s="4"/>
      <c r="AZ111" s="4"/>
      <c r="BA111" s="4"/>
    </row>
    <row r="112" spans="1:53" ht="16.5" customHeight="1">
      <c r="A112" s="31"/>
      <c r="B112" s="31"/>
      <c r="C112" s="3"/>
      <c r="D112" s="3"/>
      <c r="E112" s="3"/>
      <c r="F112" s="3"/>
      <c r="G112" s="3"/>
      <c r="H112" s="3"/>
      <c r="I112" s="3"/>
      <c r="J112" s="3"/>
      <c r="K112" s="3"/>
      <c r="L112" s="3"/>
      <c r="M112" s="3"/>
      <c r="N112" s="3"/>
      <c r="O112" s="3"/>
      <c r="P112" s="3"/>
      <c r="Q112" s="3"/>
      <c r="R112" s="3"/>
      <c r="S112" s="3"/>
      <c r="T112" s="3"/>
      <c r="U112" s="50"/>
      <c r="V112" s="3"/>
      <c r="W112" s="3"/>
      <c r="Y112" s="3"/>
      <c r="Z112" s="3"/>
      <c r="AA112" s="51"/>
      <c r="AB112" s="31"/>
      <c r="AC112" s="55"/>
      <c r="AD112" s="31"/>
      <c r="AE112" s="31"/>
      <c r="AF112" s="31"/>
      <c r="AG112" s="31"/>
      <c r="AH112" s="31"/>
      <c r="AI112" s="54"/>
      <c r="AJ112" s="51"/>
      <c r="AK112" s="51"/>
      <c r="AL112" s="51"/>
      <c r="AM112" s="51"/>
      <c r="AN112" s="51"/>
      <c r="AO112" s="51"/>
      <c r="AP112" s="51"/>
      <c r="AQ112" s="51"/>
      <c r="AR112" s="51"/>
      <c r="AS112" s="51"/>
      <c r="AT112" s="51"/>
      <c r="AU112" s="51"/>
      <c r="AV112" s="51"/>
      <c r="AW112" s="51"/>
      <c r="AX112" s="51"/>
      <c r="AY112" s="4"/>
      <c r="AZ112" s="4"/>
      <c r="BA112" s="4"/>
    </row>
    <row r="113" spans="1:53" ht="16.5" customHeight="1">
      <c r="A113" s="31"/>
      <c r="B113" s="31"/>
      <c r="C113" s="3"/>
      <c r="D113" s="3"/>
      <c r="E113" s="3"/>
      <c r="F113" s="3"/>
      <c r="G113" s="3"/>
      <c r="H113" s="3"/>
      <c r="I113" s="3"/>
      <c r="J113" s="3"/>
      <c r="K113" s="3"/>
      <c r="L113" s="3"/>
      <c r="M113" s="3"/>
      <c r="N113" s="3"/>
      <c r="O113" s="3"/>
      <c r="P113" s="3"/>
      <c r="Q113" s="3"/>
      <c r="R113" s="3"/>
      <c r="S113" s="3"/>
      <c r="T113" s="3"/>
      <c r="U113" s="50"/>
      <c r="V113" s="3"/>
      <c r="W113" s="3"/>
      <c r="Y113" s="3"/>
      <c r="Z113" s="3"/>
      <c r="AA113" s="51"/>
      <c r="AB113" s="31"/>
      <c r="AC113" s="55"/>
      <c r="AD113" s="31"/>
      <c r="AE113" s="31"/>
      <c r="AF113" s="31"/>
      <c r="AG113" s="31"/>
      <c r="AH113" s="31"/>
      <c r="AI113" s="54"/>
      <c r="AJ113" s="51"/>
      <c r="AK113" s="51"/>
      <c r="AL113" s="51"/>
      <c r="AM113" s="51"/>
      <c r="AN113" s="51"/>
      <c r="AO113" s="51"/>
      <c r="AP113" s="51"/>
      <c r="AQ113" s="51"/>
      <c r="AR113" s="51"/>
      <c r="AS113" s="51"/>
      <c r="AT113" s="51"/>
      <c r="AU113" s="51"/>
      <c r="AV113" s="51"/>
      <c r="AW113" s="51"/>
      <c r="AX113" s="51"/>
      <c r="AY113" s="4"/>
      <c r="AZ113" s="4"/>
      <c r="BA113" s="4"/>
    </row>
    <row r="114" spans="1:53" ht="16.5" customHeight="1">
      <c r="A114" s="31"/>
      <c r="B114" s="31"/>
      <c r="C114" s="3"/>
      <c r="D114" s="3"/>
      <c r="E114" s="3"/>
      <c r="F114" s="3"/>
      <c r="G114" s="3"/>
      <c r="H114" s="3"/>
      <c r="I114" s="3"/>
      <c r="J114" s="3"/>
      <c r="K114" s="3"/>
      <c r="L114" s="3"/>
      <c r="M114" s="3"/>
      <c r="N114" s="3"/>
      <c r="O114" s="3"/>
      <c r="P114" s="3"/>
      <c r="Q114" s="3"/>
      <c r="R114" s="3"/>
      <c r="S114" s="3"/>
      <c r="T114" s="3"/>
      <c r="U114" s="50"/>
      <c r="V114" s="3"/>
      <c r="W114" s="3"/>
      <c r="Y114" s="3"/>
      <c r="Z114" s="3"/>
      <c r="AA114" s="51"/>
      <c r="AB114" s="31"/>
      <c r="AC114" s="55"/>
      <c r="AD114" s="31"/>
      <c r="AE114" s="31"/>
      <c r="AF114" s="31"/>
      <c r="AG114" s="31"/>
      <c r="AH114" s="31"/>
      <c r="AI114" s="54"/>
      <c r="AJ114" s="51"/>
      <c r="AK114" s="51"/>
      <c r="AL114" s="51"/>
      <c r="AM114" s="51"/>
      <c r="AN114" s="51"/>
      <c r="AO114" s="51"/>
      <c r="AP114" s="51"/>
      <c r="AQ114" s="51"/>
      <c r="AR114" s="51"/>
      <c r="AS114" s="51"/>
      <c r="AT114" s="51"/>
      <c r="AU114" s="51"/>
      <c r="AV114" s="51"/>
      <c r="AW114" s="51"/>
      <c r="AX114" s="51"/>
      <c r="AY114" s="4"/>
      <c r="AZ114" s="4"/>
      <c r="BA114" s="4"/>
    </row>
    <row r="115" spans="1:53" ht="16.5" customHeight="1">
      <c r="A115" s="31"/>
      <c r="B115" s="31"/>
      <c r="C115" s="3"/>
      <c r="D115" s="3"/>
      <c r="E115" s="3"/>
      <c r="F115" s="3"/>
      <c r="G115" s="3"/>
      <c r="H115" s="3"/>
      <c r="I115" s="3"/>
      <c r="J115" s="3"/>
      <c r="K115" s="3"/>
      <c r="L115" s="3"/>
      <c r="M115" s="3"/>
      <c r="N115" s="3"/>
      <c r="O115" s="3"/>
      <c r="P115" s="3"/>
      <c r="Q115" s="3"/>
      <c r="R115" s="3"/>
      <c r="S115" s="3"/>
      <c r="T115" s="3"/>
      <c r="U115" s="50"/>
      <c r="V115" s="3"/>
      <c r="W115" s="3"/>
      <c r="Y115" s="3"/>
      <c r="Z115" s="3"/>
      <c r="AA115" s="51"/>
      <c r="AB115" s="31"/>
      <c r="AC115" s="55"/>
      <c r="AD115" s="31"/>
      <c r="AE115" s="31"/>
      <c r="AF115" s="31"/>
      <c r="AG115" s="31"/>
      <c r="AH115" s="31"/>
      <c r="AI115" s="54"/>
      <c r="AJ115" s="51"/>
      <c r="AK115" s="51"/>
      <c r="AL115" s="51"/>
      <c r="AM115" s="51"/>
      <c r="AN115" s="51"/>
      <c r="AO115" s="51"/>
      <c r="AP115" s="51"/>
      <c r="AQ115" s="51"/>
      <c r="AR115" s="51"/>
      <c r="AS115" s="51"/>
      <c r="AT115" s="51"/>
      <c r="AU115" s="51"/>
      <c r="AV115" s="51"/>
      <c r="AW115" s="51"/>
      <c r="AX115" s="51"/>
      <c r="AY115" s="4"/>
      <c r="AZ115" s="4"/>
      <c r="BA115" s="4"/>
    </row>
    <row r="116" spans="1:53" ht="16.5" customHeight="1">
      <c r="A116" s="31"/>
      <c r="B116" s="31"/>
      <c r="C116" s="3"/>
      <c r="D116" s="3"/>
      <c r="E116" s="3"/>
      <c r="F116" s="3"/>
      <c r="G116" s="3"/>
      <c r="H116" s="3"/>
      <c r="I116" s="3"/>
      <c r="J116" s="3"/>
      <c r="K116" s="3"/>
      <c r="L116" s="3"/>
      <c r="M116" s="3"/>
      <c r="N116" s="3"/>
      <c r="O116" s="3"/>
      <c r="P116" s="3"/>
      <c r="Q116" s="3"/>
      <c r="R116" s="3"/>
      <c r="S116" s="3"/>
      <c r="T116" s="3"/>
      <c r="U116" s="50"/>
      <c r="V116" s="3"/>
      <c r="W116" s="3"/>
      <c r="Y116" s="3"/>
      <c r="Z116" s="3"/>
      <c r="AA116" s="51"/>
      <c r="AB116" s="31"/>
      <c r="AC116" s="55"/>
      <c r="AD116" s="31"/>
      <c r="AE116" s="31"/>
      <c r="AF116" s="31"/>
      <c r="AG116" s="31"/>
      <c r="AH116" s="31"/>
      <c r="AI116" s="54"/>
      <c r="AJ116" s="51"/>
      <c r="AK116" s="51"/>
      <c r="AL116" s="51"/>
      <c r="AM116" s="51"/>
      <c r="AN116" s="51"/>
      <c r="AO116" s="51"/>
      <c r="AP116" s="51"/>
      <c r="AQ116" s="51"/>
      <c r="AR116" s="51"/>
      <c r="AS116" s="51"/>
      <c r="AT116" s="51"/>
      <c r="AU116" s="51"/>
      <c r="AV116" s="51"/>
      <c r="AW116" s="51"/>
      <c r="AX116" s="51"/>
      <c r="AY116" s="4"/>
      <c r="AZ116" s="4"/>
      <c r="BA116" s="4"/>
    </row>
    <row r="117" spans="1:53" ht="16.5" customHeight="1">
      <c r="A117" s="31"/>
      <c r="B117" s="31"/>
      <c r="C117" s="3"/>
      <c r="D117" s="3"/>
      <c r="E117" s="3"/>
      <c r="F117" s="3"/>
      <c r="G117" s="3"/>
      <c r="H117" s="3"/>
      <c r="I117" s="3"/>
      <c r="J117" s="3"/>
      <c r="K117" s="3"/>
      <c r="L117" s="3"/>
      <c r="M117" s="3"/>
      <c r="N117" s="3"/>
      <c r="O117" s="3"/>
      <c r="P117" s="3"/>
      <c r="Q117" s="3"/>
      <c r="R117" s="3"/>
      <c r="S117" s="3"/>
      <c r="T117" s="3"/>
      <c r="U117" s="50"/>
      <c r="V117" s="3"/>
      <c r="W117" s="3"/>
      <c r="Y117" s="3"/>
      <c r="Z117" s="3"/>
      <c r="AA117" s="51"/>
      <c r="AB117" s="31"/>
      <c r="AC117" s="55"/>
      <c r="AD117" s="31"/>
      <c r="AE117" s="31"/>
      <c r="AF117" s="31"/>
      <c r="AG117" s="31"/>
      <c r="AH117" s="31"/>
      <c r="AI117" s="54"/>
      <c r="AJ117" s="51"/>
      <c r="AK117" s="51"/>
      <c r="AL117" s="51"/>
      <c r="AM117" s="51"/>
      <c r="AN117" s="51"/>
      <c r="AO117" s="51"/>
      <c r="AP117" s="51"/>
      <c r="AQ117" s="51"/>
      <c r="AR117" s="51"/>
      <c r="AS117" s="51"/>
      <c r="AT117" s="51"/>
      <c r="AU117" s="51"/>
      <c r="AV117" s="51"/>
      <c r="AW117" s="51"/>
      <c r="AX117" s="51"/>
      <c r="AY117" s="4"/>
      <c r="AZ117" s="4"/>
      <c r="BA117" s="4"/>
    </row>
    <row r="118" spans="1:53" ht="16.5" customHeight="1">
      <c r="A118" s="31"/>
      <c r="B118" s="31"/>
      <c r="C118" s="3"/>
      <c r="D118" s="3"/>
      <c r="E118" s="3"/>
      <c r="F118" s="3"/>
      <c r="G118" s="3"/>
      <c r="H118" s="3"/>
      <c r="I118" s="3"/>
      <c r="J118" s="3"/>
      <c r="K118" s="3"/>
      <c r="L118" s="3"/>
      <c r="M118" s="3"/>
      <c r="N118" s="3"/>
      <c r="O118" s="3"/>
      <c r="P118" s="3"/>
      <c r="Q118" s="3"/>
      <c r="R118" s="3"/>
      <c r="S118" s="3"/>
      <c r="T118" s="3"/>
      <c r="U118" s="50"/>
      <c r="V118" s="3"/>
      <c r="W118" s="3"/>
      <c r="Y118" s="3"/>
      <c r="Z118" s="3"/>
      <c r="AA118" s="51"/>
      <c r="AB118" s="31"/>
      <c r="AC118" s="55"/>
      <c r="AD118" s="31"/>
      <c r="AE118" s="31"/>
      <c r="AF118" s="31"/>
      <c r="AG118" s="31"/>
      <c r="AH118" s="31"/>
      <c r="AI118" s="54"/>
      <c r="AJ118" s="51"/>
      <c r="AK118" s="51"/>
      <c r="AL118" s="51"/>
      <c r="AM118" s="51"/>
      <c r="AN118" s="51"/>
      <c r="AO118" s="51"/>
      <c r="AP118" s="51"/>
      <c r="AQ118" s="51"/>
      <c r="AR118" s="51"/>
      <c r="AS118" s="51"/>
      <c r="AT118" s="51"/>
      <c r="AU118" s="51"/>
      <c r="AV118" s="51"/>
      <c r="AW118" s="51"/>
      <c r="AX118" s="51"/>
      <c r="AY118" s="4"/>
      <c r="AZ118" s="4"/>
      <c r="BA118" s="4"/>
    </row>
    <row r="119" spans="1:53" ht="16.5" customHeight="1">
      <c r="A119" s="31"/>
      <c r="B119" s="31"/>
      <c r="C119" s="3"/>
      <c r="D119" s="3"/>
      <c r="E119" s="3"/>
      <c r="F119" s="3"/>
      <c r="G119" s="3"/>
      <c r="H119" s="3"/>
      <c r="I119" s="3"/>
      <c r="J119" s="3"/>
      <c r="K119" s="3"/>
      <c r="L119" s="3"/>
      <c r="M119" s="3"/>
      <c r="N119" s="3"/>
      <c r="O119" s="3"/>
      <c r="P119" s="3"/>
      <c r="Q119" s="3"/>
      <c r="R119" s="3"/>
      <c r="S119" s="3"/>
      <c r="T119" s="3"/>
      <c r="U119" s="50"/>
      <c r="V119" s="3"/>
      <c r="W119" s="3"/>
      <c r="Y119" s="3"/>
      <c r="Z119" s="3"/>
      <c r="AA119" s="51"/>
      <c r="AB119" s="31"/>
      <c r="AC119" s="55"/>
      <c r="AD119" s="31"/>
      <c r="AE119" s="31"/>
      <c r="AF119" s="31"/>
      <c r="AG119" s="31"/>
      <c r="AH119" s="31"/>
      <c r="AI119" s="54"/>
      <c r="AJ119" s="51"/>
      <c r="AK119" s="51"/>
      <c r="AL119" s="51"/>
      <c r="AM119" s="51"/>
      <c r="AN119" s="51"/>
      <c r="AO119" s="51"/>
      <c r="AP119" s="51"/>
      <c r="AQ119" s="51"/>
      <c r="AR119" s="51"/>
      <c r="AS119" s="51"/>
      <c r="AT119" s="51"/>
      <c r="AU119" s="51"/>
      <c r="AV119" s="51"/>
      <c r="AW119" s="51"/>
      <c r="AX119" s="51"/>
      <c r="AY119" s="4"/>
      <c r="AZ119" s="4"/>
      <c r="BA119" s="4"/>
    </row>
    <row r="120" spans="1:53" ht="16.5" customHeight="1">
      <c r="A120" s="31"/>
      <c r="B120" s="31"/>
      <c r="C120" s="3"/>
      <c r="D120" s="3"/>
      <c r="E120" s="3"/>
      <c r="F120" s="3"/>
      <c r="G120" s="3"/>
      <c r="H120" s="3"/>
      <c r="I120" s="3"/>
      <c r="J120" s="3"/>
      <c r="K120" s="3"/>
      <c r="L120" s="3"/>
      <c r="M120" s="3"/>
      <c r="N120" s="3"/>
      <c r="O120" s="3"/>
      <c r="P120" s="3"/>
      <c r="Q120" s="3"/>
      <c r="R120" s="3"/>
      <c r="S120" s="3"/>
      <c r="T120" s="3"/>
      <c r="U120" s="50"/>
      <c r="V120" s="3"/>
      <c r="W120" s="3"/>
      <c r="Y120" s="3"/>
      <c r="Z120" s="3"/>
      <c r="AA120" s="51"/>
      <c r="AB120" s="31"/>
      <c r="AC120" s="55"/>
      <c r="AD120" s="31"/>
      <c r="AE120" s="31"/>
      <c r="AF120" s="31"/>
      <c r="AG120" s="31"/>
      <c r="AH120" s="31"/>
      <c r="AI120" s="54"/>
      <c r="AJ120" s="51"/>
      <c r="AK120" s="51"/>
      <c r="AL120" s="51"/>
      <c r="AM120" s="51"/>
      <c r="AN120" s="51"/>
      <c r="AO120" s="51"/>
      <c r="AP120" s="51"/>
      <c r="AQ120" s="51"/>
      <c r="AR120" s="51"/>
      <c r="AS120" s="51"/>
      <c r="AT120" s="51"/>
      <c r="AU120" s="51"/>
      <c r="AV120" s="51"/>
      <c r="AW120" s="51"/>
      <c r="AX120" s="51"/>
      <c r="AY120" s="4"/>
      <c r="AZ120" s="4"/>
      <c r="BA120" s="4"/>
    </row>
    <row r="121" spans="1:53" ht="16.5" customHeight="1">
      <c r="A121" s="31"/>
      <c r="B121" s="31"/>
      <c r="C121" s="3"/>
      <c r="D121" s="3"/>
      <c r="E121" s="3"/>
      <c r="F121" s="3"/>
      <c r="G121" s="3"/>
      <c r="H121" s="3"/>
      <c r="I121" s="3"/>
      <c r="J121" s="3"/>
      <c r="K121" s="3"/>
      <c r="L121" s="3"/>
      <c r="M121" s="3"/>
      <c r="N121" s="3"/>
      <c r="O121" s="3"/>
      <c r="P121" s="3"/>
      <c r="Q121" s="3"/>
      <c r="R121" s="3"/>
      <c r="S121" s="3"/>
      <c r="T121" s="3"/>
      <c r="U121" s="50"/>
      <c r="V121" s="3"/>
      <c r="W121" s="3"/>
      <c r="Y121" s="3"/>
      <c r="Z121" s="3"/>
      <c r="AA121" s="51"/>
      <c r="AB121" s="31"/>
      <c r="AC121" s="55"/>
      <c r="AD121" s="31"/>
      <c r="AE121" s="31"/>
      <c r="AF121" s="31"/>
      <c r="AG121" s="31"/>
      <c r="AH121" s="31"/>
      <c r="AI121" s="54"/>
      <c r="AJ121" s="51"/>
      <c r="AK121" s="51"/>
      <c r="AL121" s="51"/>
      <c r="AM121" s="51"/>
      <c r="AN121" s="51"/>
      <c r="AO121" s="51"/>
      <c r="AP121" s="51"/>
      <c r="AQ121" s="51"/>
      <c r="AR121" s="51"/>
      <c r="AS121" s="51"/>
      <c r="AT121" s="51"/>
      <c r="AU121" s="51"/>
      <c r="AV121" s="51"/>
      <c r="AW121" s="51"/>
      <c r="AX121" s="51"/>
      <c r="AY121" s="4"/>
      <c r="AZ121" s="4"/>
      <c r="BA121" s="4"/>
    </row>
    <row r="122" spans="1:53" ht="16.5" customHeight="1">
      <c r="A122" s="31"/>
      <c r="B122" s="31"/>
      <c r="C122" s="3"/>
      <c r="D122" s="3"/>
      <c r="E122" s="3"/>
      <c r="F122" s="3"/>
      <c r="G122" s="3"/>
      <c r="H122" s="3"/>
      <c r="I122" s="3"/>
      <c r="J122" s="3"/>
      <c r="K122" s="3"/>
      <c r="L122" s="3"/>
      <c r="M122" s="3"/>
      <c r="N122" s="3"/>
      <c r="O122" s="3"/>
      <c r="P122" s="3"/>
      <c r="Q122" s="3"/>
      <c r="R122" s="3"/>
      <c r="S122" s="3"/>
      <c r="T122" s="3"/>
      <c r="U122" s="50"/>
      <c r="V122" s="3"/>
      <c r="W122" s="3"/>
      <c r="Y122" s="3"/>
      <c r="Z122" s="3"/>
      <c r="AA122" s="51"/>
      <c r="AB122" s="31"/>
      <c r="AC122" s="55"/>
      <c r="AD122" s="31"/>
      <c r="AE122" s="31"/>
      <c r="AF122" s="31"/>
      <c r="AG122" s="31"/>
      <c r="AH122" s="31"/>
      <c r="AI122" s="54"/>
      <c r="AJ122" s="51"/>
      <c r="AK122" s="51"/>
      <c r="AL122" s="51"/>
      <c r="AM122" s="51"/>
      <c r="AN122" s="51"/>
      <c r="AO122" s="51"/>
      <c r="AP122" s="51"/>
      <c r="AQ122" s="51"/>
      <c r="AR122" s="51"/>
      <c r="AS122" s="51"/>
      <c r="AT122" s="51"/>
      <c r="AU122" s="51"/>
      <c r="AV122" s="51"/>
      <c r="AW122" s="51"/>
      <c r="AX122" s="51"/>
      <c r="AY122" s="4"/>
      <c r="AZ122" s="4"/>
      <c r="BA122" s="4"/>
    </row>
    <row r="123" spans="1:53" ht="16.5" customHeight="1">
      <c r="A123" s="31"/>
      <c r="B123" s="31"/>
      <c r="C123" s="3"/>
      <c r="D123" s="3"/>
      <c r="E123" s="3"/>
      <c r="F123" s="3"/>
      <c r="G123" s="3"/>
      <c r="H123" s="3"/>
      <c r="I123" s="3"/>
      <c r="J123" s="3"/>
      <c r="K123" s="3"/>
      <c r="L123" s="3"/>
      <c r="M123" s="3"/>
      <c r="N123" s="3"/>
      <c r="O123" s="3"/>
      <c r="P123" s="3"/>
      <c r="Q123" s="3"/>
      <c r="R123" s="3"/>
      <c r="S123" s="3"/>
      <c r="T123" s="3"/>
      <c r="U123" s="50"/>
      <c r="V123" s="3"/>
      <c r="W123" s="3"/>
      <c r="Y123" s="3"/>
      <c r="Z123" s="3"/>
      <c r="AA123" s="51"/>
      <c r="AB123" s="31"/>
      <c r="AC123" s="55"/>
      <c r="AD123" s="31"/>
      <c r="AE123" s="31"/>
      <c r="AF123" s="31"/>
      <c r="AG123" s="31"/>
      <c r="AH123" s="31"/>
      <c r="AI123" s="54"/>
      <c r="AJ123" s="51"/>
      <c r="AK123" s="51"/>
      <c r="AL123" s="51"/>
      <c r="AM123" s="51"/>
      <c r="AN123" s="51"/>
      <c r="AO123" s="51"/>
      <c r="AP123" s="51"/>
      <c r="AQ123" s="51"/>
      <c r="AR123" s="51"/>
      <c r="AS123" s="51"/>
      <c r="AT123" s="51"/>
      <c r="AU123" s="51"/>
      <c r="AV123" s="51"/>
      <c r="AW123" s="51"/>
      <c r="AX123" s="51"/>
      <c r="AY123" s="4"/>
      <c r="AZ123" s="4"/>
      <c r="BA123" s="4"/>
    </row>
    <row r="124" spans="1:53" ht="16.5" customHeight="1">
      <c r="A124" s="31"/>
      <c r="B124" s="31"/>
      <c r="C124" s="3"/>
      <c r="D124" s="3"/>
      <c r="E124" s="3"/>
      <c r="F124" s="3"/>
      <c r="G124" s="3"/>
      <c r="H124" s="3"/>
      <c r="I124" s="3"/>
      <c r="J124" s="3"/>
      <c r="K124" s="3"/>
      <c r="L124" s="3"/>
      <c r="M124" s="3"/>
      <c r="N124" s="3"/>
      <c r="O124" s="3"/>
      <c r="P124" s="3"/>
      <c r="Q124" s="3"/>
      <c r="R124" s="3"/>
      <c r="S124" s="3"/>
      <c r="T124" s="3"/>
      <c r="U124" s="50"/>
      <c r="V124" s="3"/>
      <c r="W124" s="3"/>
      <c r="Y124" s="3"/>
      <c r="Z124" s="3"/>
      <c r="AA124" s="51"/>
      <c r="AB124" s="31"/>
      <c r="AC124" s="55"/>
      <c r="AD124" s="31"/>
      <c r="AE124" s="31"/>
      <c r="AF124" s="31"/>
      <c r="AG124" s="31"/>
      <c r="AH124" s="31"/>
      <c r="AI124" s="54"/>
      <c r="AJ124" s="51"/>
      <c r="AK124" s="51"/>
      <c r="AL124" s="51"/>
      <c r="AM124" s="51"/>
      <c r="AN124" s="51"/>
      <c r="AO124" s="51"/>
      <c r="AP124" s="51"/>
      <c r="AQ124" s="51"/>
      <c r="AR124" s="51"/>
      <c r="AS124" s="51"/>
      <c r="AT124" s="51"/>
      <c r="AU124" s="51"/>
      <c r="AV124" s="51"/>
      <c r="AW124" s="51"/>
      <c r="AX124" s="51"/>
      <c r="AY124" s="4"/>
      <c r="AZ124" s="4"/>
      <c r="BA124" s="4"/>
    </row>
    <row r="125" spans="1:53" ht="16.5" customHeight="1">
      <c r="A125" s="31"/>
      <c r="B125" s="31"/>
      <c r="C125" s="3"/>
      <c r="D125" s="3"/>
      <c r="E125" s="3"/>
      <c r="F125" s="3"/>
      <c r="G125" s="3"/>
      <c r="H125" s="3"/>
      <c r="I125" s="3"/>
      <c r="J125" s="3"/>
      <c r="K125" s="3"/>
      <c r="L125" s="3"/>
      <c r="M125" s="3"/>
      <c r="N125" s="3"/>
      <c r="O125" s="3"/>
      <c r="P125" s="3"/>
      <c r="Q125" s="3"/>
      <c r="R125" s="3"/>
      <c r="S125" s="3"/>
      <c r="T125" s="3"/>
      <c r="U125" s="50"/>
      <c r="V125" s="3"/>
      <c r="W125" s="3"/>
      <c r="Y125" s="3"/>
      <c r="Z125" s="3"/>
      <c r="AA125" s="51"/>
      <c r="AB125" s="31"/>
      <c r="AC125" s="55"/>
      <c r="AD125" s="31"/>
      <c r="AE125" s="31"/>
      <c r="AF125" s="31"/>
      <c r="AG125" s="31"/>
      <c r="AH125" s="31"/>
      <c r="AI125" s="54"/>
      <c r="AJ125" s="51"/>
      <c r="AK125" s="51"/>
      <c r="AL125" s="51"/>
      <c r="AM125" s="51"/>
      <c r="AN125" s="51"/>
      <c r="AO125" s="51"/>
      <c r="AP125" s="51"/>
      <c r="AQ125" s="51"/>
      <c r="AR125" s="51"/>
      <c r="AS125" s="51"/>
      <c r="AT125" s="51"/>
      <c r="AU125" s="51"/>
      <c r="AV125" s="51"/>
      <c r="AW125" s="51"/>
      <c r="AX125" s="51"/>
      <c r="AY125" s="4"/>
      <c r="AZ125" s="4"/>
      <c r="BA125" s="4"/>
    </row>
    <row r="126" spans="1:53" ht="16.5" customHeight="1">
      <c r="A126" s="31"/>
      <c r="B126" s="31"/>
      <c r="C126" s="3"/>
      <c r="D126" s="3"/>
      <c r="E126" s="3"/>
      <c r="F126" s="3"/>
      <c r="G126" s="3"/>
      <c r="H126" s="3"/>
      <c r="I126" s="3"/>
      <c r="J126" s="3"/>
      <c r="K126" s="3"/>
      <c r="L126" s="3"/>
      <c r="M126" s="3"/>
      <c r="N126" s="3"/>
      <c r="O126" s="3"/>
      <c r="P126" s="3"/>
      <c r="Q126" s="3"/>
      <c r="R126" s="3"/>
      <c r="S126" s="3"/>
      <c r="T126" s="3"/>
      <c r="U126" s="50"/>
      <c r="V126" s="3"/>
      <c r="W126" s="3"/>
      <c r="Y126" s="3"/>
      <c r="Z126" s="3"/>
      <c r="AA126" s="51"/>
      <c r="AB126" s="31"/>
      <c r="AC126" s="55"/>
      <c r="AD126" s="31"/>
      <c r="AE126" s="31"/>
      <c r="AF126" s="31"/>
      <c r="AG126" s="31"/>
      <c r="AH126" s="31"/>
      <c r="AI126" s="54"/>
      <c r="AJ126" s="51"/>
      <c r="AK126" s="51"/>
      <c r="AL126" s="51"/>
      <c r="AM126" s="51"/>
      <c r="AN126" s="51"/>
      <c r="AO126" s="51"/>
      <c r="AP126" s="51"/>
      <c r="AQ126" s="51"/>
      <c r="AR126" s="51"/>
      <c r="AS126" s="51"/>
      <c r="AT126" s="51"/>
      <c r="AU126" s="51"/>
      <c r="AV126" s="51"/>
      <c r="AW126" s="51"/>
      <c r="AX126" s="51"/>
      <c r="AY126" s="4"/>
      <c r="AZ126" s="4"/>
      <c r="BA126" s="4"/>
    </row>
    <row r="127" spans="1:53" ht="16.5" customHeight="1">
      <c r="A127" s="31"/>
      <c r="B127" s="31"/>
      <c r="C127" s="3"/>
      <c r="D127" s="3"/>
      <c r="E127" s="3"/>
      <c r="F127" s="3"/>
      <c r="G127" s="3"/>
      <c r="H127" s="3"/>
      <c r="I127" s="3"/>
      <c r="J127" s="3"/>
      <c r="K127" s="3"/>
      <c r="L127" s="3"/>
      <c r="M127" s="3"/>
      <c r="N127" s="3"/>
      <c r="O127" s="3"/>
      <c r="P127" s="3"/>
      <c r="Q127" s="3"/>
      <c r="R127" s="3"/>
      <c r="S127" s="3"/>
      <c r="T127" s="3"/>
      <c r="U127" s="50"/>
      <c r="V127" s="3"/>
      <c r="W127" s="3"/>
      <c r="Y127" s="3"/>
      <c r="Z127" s="3"/>
      <c r="AA127" s="51"/>
      <c r="AB127" s="31"/>
      <c r="AC127" s="55"/>
      <c r="AD127" s="31"/>
      <c r="AE127" s="31"/>
      <c r="AF127" s="31"/>
      <c r="AG127" s="31"/>
      <c r="AH127" s="31"/>
      <c r="AI127" s="54"/>
      <c r="AJ127" s="51"/>
      <c r="AK127" s="51"/>
      <c r="AL127" s="51"/>
      <c r="AM127" s="51"/>
      <c r="AN127" s="51"/>
      <c r="AO127" s="51"/>
      <c r="AP127" s="51"/>
      <c r="AQ127" s="51"/>
      <c r="AR127" s="51"/>
      <c r="AS127" s="51"/>
      <c r="AT127" s="51"/>
      <c r="AU127" s="51"/>
      <c r="AV127" s="51"/>
      <c r="AW127" s="51"/>
      <c r="AX127" s="51"/>
      <c r="AY127" s="4"/>
      <c r="AZ127" s="4"/>
      <c r="BA127" s="4"/>
    </row>
    <row r="128" spans="1:53" ht="16.5" customHeight="1">
      <c r="A128" s="31"/>
      <c r="B128" s="31"/>
      <c r="C128" s="3"/>
      <c r="D128" s="3"/>
      <c r="E128" s="3"/>
      <c r="F128" s="3"/>
      <c r="G128" s="3"/>
      <c r="H128" s="3"/>
      <c r="I128" s="3"/>
      <c r="J128" s="3"/>
      <c r="K128" s="3"/>
      <c r="L128" s="3"/>
      <c r="M128" s="3"/>
      <c r="N128" s="3"/>
      <c r="O128" s="3"/>
      <c r="P128" s="3"/>
      <c r="Q128" s="3"/>
      <c r="R128" s="3"/>
      <c r="S128" s="3"/>
      <c r="T128" s="3"/>
      <c r="U128" s="50"/>
      <c r="V128" s="3"/>
      <c r="W128" s="3"/>
      <c r="Y128" s="3"/>
      <c r="Z128" s="3"/>
      <c r="AA128" s="51"/>
      <c r="AB128" s="31"/>
      <c r="AC128" s="55"/>
      <c r="AD128" s="31"/>
      <c r="AE128" s="31"/>
      <c r="AF128" s="31"/>
      <c r="AG128" s="31"/>
      <c r="AH128" s="31"/>
      <c r="AI128" s="54"/>
      <c r="AJ128" s="51"/>
      <c r="AK128" s="51"/>
      <c r="AL128" s="51"/>
      <c r="AM128" s="51"/>
      <c r="AN128" s="51"/>
      <c r="AO128" s="51"/>
      <c r="AP128" s="51"/>
      <c r="AQ128" s="51"/>
      <c r="AR128" s="51"/>
      <c r="AS128" s="51"/>
      <c r="AT128" s="51"/>
      <c r="AU128" s="51"/>
      <c r="AV128" s="51"/>
      <c r="AW128" s="51"/>
      <c r="AX128" s="51"/>
      <c r="AY128" s="4"/>
      <c r="AZ128" s="4"/>
      <c r="BA128" s="4"/>
    </row>
    <row r="129" spans="1:53" ht="16.5" customHeight="1">
      <c r="A129" s="56"/>
      <c r="B129" s="56"/>
      <c r="C129" s="57"/>
      <c r="D129" s="57"/>
      <c r="E129" s="57"/>
      <c r="F129" s="57"/>
      <c r="G129" s="57"/>
      <c r="H129" s="57"/>
      <c r="I129" s="57"/>
      <c r="J129" s="57"/>
      <c r="K129" s="57"/>
      <c r="L129" s="57"/>
      <c r="M129" s="57"/>
      <c r="N129" s="57"/>
      <c r="O129" s="57"/>
      <c r="P129" s="57"/>
      <c r="Q129" s="57"/>
      <c r="R129" s="57"/>
      <c r="S129" s="57"/>
      <c r="T129" s="57"/>
      <c r="U129" s="58"/>
      <c r="V129" s="57"/>
      <c r="W129" s="57"/>
      <c r="X129" s="57"/>
      <c r="Y129" s="57"/>
      <c r="Z129" s="57"/>
      <c r="AA129" s="59"/>
      <c r="AB129" s="56"/>
      <c r="AC129" s="60"/>
      <c r="AD129" s="56"/>
      <c r="AE129" s="56"/>
      <c r="AF129" s="56"/>
      <c r="AG129" s="56"/>
      <c r="AH129" s="56"/>
      <c r="AI129" s="61"/>
      <c r="AJ129" s="59"/>
      <c r="AK129" s="59"/>
      <c r="AL129" s="59"/>
      <c r="AM129" s="59"/>
      <c r="AN129" s="59"/>
      <c r="AO129" s="59"/>
      <c r="AP129" s="59"/>
      <c r="AQ129" s="59"/>
      <c r="AR129" s="59"/>
      <c r="AS129" s="59"/>
      <c r="AT129" s="59"/>
      <c r="AU129" s="59"/>
      <c r="AV129" s="59"/>
      <c r="AW129" s="59"/>
      <c r="AX129" s="4"/>
      <c r="AY129" s="4"/>
      <c r="AZ129" s="4"/>
      <c r="BA129" s="4"/>
    </row>
    <row r="130" spans="1:53" ht="16.5" customHeight="1">
      <c r="A130" s="56"/>
      <c r="B130" s="56"/>
      <c r="C130" s="57"/>
      <c r="D130" s="57"/>
      <c r="E130" s="57"/>
      <c r="F130" s="57"/>
      <c r="G130" s="57"/>
      <c r="H130" s="57"/>
      <c r="I130" s="57"/>
      <c r="J130" s="57"/>
      <c r="K130" s="57"/>
      <c r="L130" s="57"/>
      <c r="M130" s="57"/>
      <c r="N130" s="57"/>
      <c r="O130" s="57"/>
      <c r="P130" s="57"/>
      <c r="Q130" s="57"/>
      <c r="R130" s="57"/>
      <c r="S130" s="57"/>
      <c r="T130" s="57"/>
      <c r="U130" s="58"/>
      <c r="V130" s="57"/>
      <c r="W130" s="57"/>
      <c r="X130" s="57"/>
      <c r="Y130" s="57"/>
      <c r="Z130" s="57"/>
      <c r="AA130" s="59"/>
      <c r="AB130" s="56"/>
      <c r="AC130" s="60"/>
      <c r="AD130" s="56"/>
      <c r="AE130" s="56"/>
      <c r="AF130" s="56"/>
      <c r="AG130" s="56"/>
      <c r="AH130" s="56"/>
      <c r="AI130" s="61"/>
      <c r="AJ130" s="59"/>
      <c r="AK130" s="59"/>
      <c r="AL130" s="59"/>
      <c r="AM130" s="59"/>
      <c r="AN130" s="59"/>
      <c r="AO130" s="59"/>
      <c r="AP130" s="59"/>
      <c r="AQ130" s="59"/>
      <c r="AR130" s="59"/>
      <c r="AS130" s="59"/>
      <c r="AT130" s="59"/>
      <c r="AU130" s="59"/>
      <c r="AV130" s="59"/>
      <c r="AW130" s="59"/>
      <c r="AX130" s="4"/>
      <c r="AY130" s="4"/>
      <c r="AZ130" s="4"/>
      <c r="BA130" s="4"/>
    </row>
    <row r="131" spans="1:53" ht="16.5" customHeight="1">
      <c r="A131" s="56"/>
      <c r="B131" s="56"/>
      <c r="C131" s="57"/>
      <c r="D131" s="57"/>
      <c r="E131" s="57"/>
      <c r="F131" s="57"/>
      <c r="G131" s="57"/>
      <c r="H131" s="57"/>
      <c r="I131" s="57"/>
      <c r="J131" s="57"/>
      <c r="K131" s="57"/>
      <c r="L131" s="57"/>
      <c r="M131" s="57"/>
      <c r="N131" s="57"/>
      <c r="O131" s="57"/>
      <c r="P131" s="57"/>
      <c r="Q131" s="57"/>
      <c r="R131" s="57"/>
      <c r="S131" s="57"/>
      <c r="T131" s="57"/>
      <c r="U131" s="58"/>
      <c r="V131" s="57"/>
      <c r="W131" s="57"/>
      <c r="X131" s="57"/>
      <c r="Y131" s="57"/>
      <c r="Z131" s="57"/>
      <c r="AA131" s="59"/>
      <c r="AB131" s="56"/>
      <c r="AC131" s="60"/>
      <c r="AD131" s="56"/>
      <c r="AE131" s="56"/>
      <c r="AF131" s="56"/>
      <c r="AG131" s="56"/>
      <c r="AH131" s="56"/>
      <c r="AI131" s="61"/>
      <c r="AJ131" s="59"/>
      <c r="AK131" s="59"/>
      <c r="AL131" s="59"/>
      <c r="AM131" s="59"/>
      <c r="AN131" s="59"/>
      <c r="AO131" s="59"/>
      <c r="AP131" s="59"/>
      <c r="AQ131" s="59"/>
      <c r="AR131" s="59"/>
      <c r="AS131" s="59"/>
      <c r="AT131" s="59"/>
      <c r="AU131" s="59"/>
      <c r="AV131" s="59"/>
      <c r="AW131" s="59"/>
      <c r="AX131" s="4"/>
      <c r="AY131" s="4"/>
      <c r="AZ131" s="4"/>
      <c r="BA131" s="4"/>
    </row>
    <row r="132" spans="1:53" ht="16.5" customHeight="1">
      <c r="A132" s="56"/>
      <c r="B132" s="56"/>
      <c r="C132" s="57"/>
      <c r="D132" s="57"/>
      <c r="E132" s="57"/>
      <c r="F132" s="57"/>
      <c r="G132" s="57"/>
      <c r="H132" s="57"/>
      <c r="I132" s="57"/>
      <c r="J132" s="57"/>
      <c r="K132" s="57"/>
      <c r="L132" s="57"/>
      <c r="M132" s="57"/>
      <c r="N132" s="57"/>
      <c r="O132" s="57"/>
      <c r="P132" s="57"/>
      <c r="Q132" s="57"/>
      <c r="R132" s="57"/>
      <c r="S132" s="57"/>
      <c r="T132" s="57"/>
      <c r="U132" s="58"/>
      <c r="V132" s="57"/>
      <c r="W132" s="57"/>
      <c r="X132" s="57"/>
      <c r="Y132" s="57"/>
      <c r="Z132" s="57"/>
      <c r="AA132" s="59"/>
      <c r="AB132" s="56"/>
      <c r="AC132" s="60"/>
      <c r="AD132" s="56"/>
      <c r="AE132" s="56"/>
      <c r="AF132" s="56"/>
      <c r="AG132" s="56"/>
      <c r="AH132" s="56"/>
      <c r="AI132" s="61"/>
      <c r="AJ132" s="59"/>
      <c r="AK132" s="59"/>
      <c r="AL132" s="59"/>
      <c r="AM132" s="59"/>
      <c r="AN132" s="59"/>
      <c r="AO132" s="59"/>
      <c r="AP132" s="59"/>
      <c r="AQ132" s="59"/>
      <c r="AR132" s="59"/>
      <c r="AS132" s="59"/>
      <c r="AT132" s="59"/>
      <c r="AU132" s="59"/>
      <c r="AV132" s="59"/>
      <c r="AW132" s="59"/>
      <c r="AX132" s="4"/>
      <c r="AY132" s="4"/>
      <c r="AZ132" s="4"/>
      <c r="BA132" s="4"/>
    </row>
    <row r="133" spans="1:53" ht="16.5" customHeight="1">
      <c r="A133" s="56"/>
      <c r="B133" s="56"/>
      <c r="C133" s="57"/>
      <c r="D133" s="57"/>
      <c r="E133" s="57"/>
      <c r="F133" s="57"/>
      <c r="G133" s="57"/>
      <c r="H133" s="57"/>
      <c r="I133" s="57"/>
      <c r="J133" s="57"/>
      <c r="K133" s="57"/>
      <c r="L133" s="57"/>
      <c r="M133" s="57"/>
      <c r="N133" s="57"/>
      <c r="O133" s="57"/>
      <c r="P133" s="57"/>
      <c r="Q133" s="57"/>
      <c r="R133" s="57"/>
      <c r="S133" s="57"/>
      <c r="T133" s="57"/>
      <c r="U133" s="58"/>
      <c r="V133" s="57"/>
      <c r="W133" s="57"/>
      <c r="X133" s="57"/>
      <c r="Y133" s="57"/>
      <c r="Z133" s="57"/>
      <c r="AA133" s="59"/>
      <c r="AB133" s="56"/>
      <c r="AC133" s="60"/>
      <c r="AD133" s="56"/>
      <c r="AE133" s="56"/>
      <c r="AF133" s="56"/>
      <c r="AG133" s="56"/>
      <c r="AH133" s="56"/>
      <c r="AI133" s="61"/>
      <c r="AJ133" s="59"/>
      <c r="AK133" s="59"/>
      <c r="AL133" s="59"/>
      <c r="AM133" s="59"/>
      <c r="AN133" s="59"/>
      <c r="AO133" s="59"/>
      <c r="AP133" s="59"/>
      <c r="AQ133" s="59"/>
      <c r="AR133" s="59"/>
      <c r="AS133" s="59"/>
      <c r="AT133" s="59"/>
      <c r="AU133" s="59"/>
      <c r="AV133" s="59"/>
      <c r="AW133" s="59"/>
      <c r="AX133" s="4"/>
      <c r="AY133" s="4"/>
      <c r="AZ133" s="4"/>
      <c r="BA133" s="4"/>
    </row>
    <row r="134" spans="1:53" ht="16.5" customHeight="1">
      <c r="A134" s="56"/>
      <c r="B134" s="56"/>
      <c r="C134" s="57"/>
      <c r="D134" s="57"/>
      <c r="E134" s="57"/>
      <c r="F134" s="57"/>
      <c r="G134" s="57"/>
      <c r="H134" s="57"/>
      <c r="I134" s="57"/>
      <c r="J134" s="57"/>
      <c r="K134" s="57"/>
      <c r="L134" s="57"/>
      <c r="M134" s="57"/>
      <c r="N134" s="57"/>
      <c r="O134" s="57"/>
      <c r="P134" s="57"/>
      <c r="Q134" s="57"/>
      <c r="R134" s="57"/>
      <c r="S134" s="57"/>
      <c r="T134" s="57"/>
      <c r="U134" s="58"/>
      <c r="V134" s="57"/>
      <c r="W134" s="57"/>
      <c r="X134" s="57"/>
      <c r="Y134" s="57"/>
      <c r="Z134" s="57"/>
      <c r="AA134" s="59"/>
      <c r="AB134" s="56"/>
      <c r="AC134" s="60"/>
      <c r="AD134" s="56"/>
      <c r="AE134" s="56"/>
      <c r="AF134" s="56"/>
      <c r="AG134" s="56"/>
      <c r="AH134" s="56"/>
      <c r="AI134" s="61"/>
      <c r="AJ134" s="59"/>
      <c r="AK134" s="59"/>
      <c r="AL134" s="59"/>
      <c r="AM134" s="59"/>
      <c r="AN134" s="59"/>
      <c r="AO134" s="59"/>
      <c r="AP134" s="59"/>
      <c r="AQ134" s="59"/>
      <c r="AR134" s="59"/>
      <c r="AS134" s="59"/>
      <c r="AT134" s="59"/>
      <c r="AU134" s="59"/>
      <c r="AV134" s="59"/>
      <c r="AW134" s="59"/>
      <c r="AX134" s="4"/>
      <c r="AY134" s="4"/>
      <c r="AZ134" s="4"/>
      <c r="BA134" s="4"/>
    </row>
    <row r="135" spans="1:53" ht="16.5" customHeight="1">
      <c r="A135" s="56"/>
      <c r="B135" s="56"/>
      <c r="C135" s="57"/>
      <c r="D135" s="57"/>
      <c r="E135" s="57"/>
      <c r="F135" s="57"/>
      <c r="G135" s="57"/>
      <c r="H135" s="57"/>
      <c r="I135" s="57"/>
      <c r="J135" s="57"/>
      <c r="K135" s="57"/>
      <c r="L135" s="57"/>
      <c r="M135" s="57"/>
      <c r="N135" s="57"/>
      <c r="O135" s="57"/>
      <c r="P135" s="57"/>
      <c r="Q135" s="57"/>
      <c r="R135" s="57"/>
      <c r="S135" s="57"/>
      <c r="T135" s="57"/>
      <c r="U135" s="58"/>
      <c r="V135" s="57"/>
      <c r="W135" s="57"/>
      <c r="X135" s="57"/>
      <c r="Y135" s="57"/>
      <c r="Z135" s="57"/>
      <c r="AA135" s="59"/>
      <c r="AB135" s="56"/>
      <c r="AC135" s="60"/>
      <c r="AD135" s="56"/>
      <c r="AE135" s="56"/>
      <c r="AF135" s="56"/>
      <c r="AG135" s="56"/>
      <c r="AH135" s="56"/>
      <c r="AI135" s="61"/>
      <c r="AJ135" s="59"/>
      <c r="AK135" s="59"/>
      <c r="AL135" s="59"/>
      <c r="AM135" s="59"/>
      <c r="AN135" s="59"/>
      <c r="AO135" s="59"/>
      <c r="AP135" s="59"/>
      <c r="AQ135" s="59"/>
      <c r="AR135" s="59"/>
      <c r="AS135" s="59"/>
      <c r="AT135" s="59"/>
      <c r="AU135" s="59"/>
      <c r="AV135" s="59"/>
      <c r="AW135" s="59"/>
      <c r="AX135" s="4"/>
      <c r="AY135" s="4"/>
      <c r="AZ135" s="4"/>
      <c r="BA135" s="4"/>
    </row>
    <row r="136" spans="1:53" ht="16.5" customHeight="1">
      <c r="A136" s="56"/>
      <c r="B136" s="56"/>
      <c r="C136" s="57"/>
      <c r="D136" s="57"/>
      <c r="E136" s="57"/>
      <c r="F136" s="57"/>
      <c r="G136" s="57"/>
      <c r="H136" s="57"/>
      <c r="I136" s="57"/>
      <c r="J136" s="57"/>
      <c r="K136" s="57"/>
      <c r="L136" s="57"/>
      <c r="M136" s="57"/>
      <c r="N136" s="57"/>
      <c r="O136" s="57"/>
      <c r="P136" s="57"/>
      <c r="Q136" s="57"/>
      <c r="R136" s="57"/>
      <c r="S136" s="57"/>
      <c r="T136" s="57"/>
      <c r="U136" s="58"/>
      <c r="V136" s="57"/>
      <c r="W136" s="57"/>
      <c r="X136" s="57"/>
      <c r="Y136" s="57"/>
      <c r="Z136" s="57"/>
      <c r="AA136" s="59"/>
      <c r="AB136" s="56"/>
      <c r="AC136" s="60"/>
      <c r="AD136" s="56"/>
      <c r="AE136" s="56"/>
      <c r="AF136" s="56"/>
      <c r="AG136" s="56"/>
      <c r="AH136" s="56"/>
      <c r="AI136" s="61"/>
      <c r="AJ136" s="59"/>
      <c r="AK136" s="59"/>
      <c r="AL136" s="59"/>
      <c r="AM136" s="59"/>
      <c r="AN136" s="59"/>
      <c r="AO136" s="59"/>
      <c r="AP136" s="59"/>
      <c r="AQ136" s="59"/>
      <c r="AR136" s="59"/>
      <c r="AS136" s="59"/>
      <c r="AT136" s="59"/>
      <c r="AU136" s="59"/>
      <c r="AV136" s="59"/>
      <c r="AW136" s="59"/>
      <c r="AX136" s="4"/>
      <c r="AY136" s="4"/>
      <c r="AZ136" s="4"/>
      <c r="BA136" s="4"/>
    </row>
    <row r="137" spans="1:53" ht="16.5" customHeight="1">
      <c r="A137" s="56"/>
      <c r="B137" s="56"/>
      <c r="C137" s="57"/>
      <c r="D137" s="57"/>
      <c r="E137" s="57"/>
      <c r="F137" s="57"/>
      <c r="G137" s="57"/>
      <c r="H137" s="57"/>
      <c r="I137" s="57"/>
      <c r="J137" s="57"/>
      <c r="K137" s="57"/>
      <c r="L137" s="57"/>
      <c r="M137" s="57"/>
      <c r="N137" s="57"/>
      <c r="O137" s="57"/>
      <c r="P137" s="57"/>
      <c r="Q137" s="57"/>
      <c r="R137" s="57"/>
      <c r="S137" s="57"/>
      <c r="T137" s="57"/>
      <c r="U137" s="58"/>
      <c r="V137" s="57"/>
      <c r="W137" s="57"/>
      <c r="X137" s="57"/>
      <c r="Y137" s="57"/>
      <c r="Z137" s="57"/>
      <c r="AA137" s="59"/>
      <c r="AB137" s="56"/>
      <c r="AC137" s="60"/>
      <c r="AD137" s="56"/>
      <c r="AE137" s="56"/>
      <c r="AF137" s="56"/>
      <c r="AG137" s="56"/>
      <c r="AH137" s="56"/>
      <c r="AI137" s="61"/>
      <c r="AJ137" s="59"/>
      <c r="AK137" s="59"/>
      <c r="AL137" s="59"/>
      <c r="AM137" s="59"/>
      <c r="AN137" s="59"/>
      <c r="AO137" s="59"/>
      <c r="AP137" s="59"/>
      <c r="AQ137" s="59"/>
      <c r="AR137" s="59"/>
      <c r="AS137" s="59"/>
      <c r="AT137" s="59"/>
      <c r="AU137" s="59"/>
      <c r="AV137" s="59"/>
      <c r="AW137" s="59"/>
      <c r="AX137" s="4"/>
      <c r="AY137" s="4"/>
      <c r="AZ137" s="4"/>
      <c r="BA137" s="4"/>
    </row>
    <row r="138" spans="1:53" ht="16.5" customHeight="1">
      <c r="A138" s="56"/>
      <c r="B138" s="56"/>
      <c r="C138" s="57"/>
      <c r="D138" s="57"/>
      <c r="E138" s="57"/>
      <c r="F138" s="57"/>
      <c r="G138" s="57"/>
      <c r="H138" s="57"/>
      <c r="I138" s="57"/>
      <c r="J138" s="57"/>
      <c r="K138" s="57"/>
      <c r="L138" s="57"/>
      <c r="M138" s="57"/>
      <c r="N138" s="57"/>
      <c r="O138" s="57"/>
      <c r="P138" s="57"/>
      <c r="Q138" s="57"/>
      <c r="R138" s="57"/>
      <c r="S138" s="57"/>
      <c r="T138" s="57"/>
      <c r="U138" s="58"/>
      <c r="V138" s="57"/>
      <c r="W138" s="57"/>
      <c r="X138" s="57"/>
      <c r="Y138" s="57"/>
      <c r="Z138" s="57"/>
      <c r="AA138" s="59"/>
      <c r="AB138" s="56"/>
      <c r="AC138" s="60"/>
      <c r="AD138" s="56"/>
      <c r="AE138" s="56"/>
      <c r="AF138" s="56"/>
      <c r="AG138" s="56"/>
      <c r="AH138" s="56"/>
      <c r="AI138" s="61"/>
      <c r="AJ138" s="59"/>
      <c r="AK138" s="59"/>
      <c r="AL138" s="59"/>
      <c r="AM138" s="59"/>
      <c r="AN138" s="59"/>
      <c r="AO138" s="59"/>
      <c r="AP138" s="59"/>
      <c r="AQ138" s="59"/>
      <c r="AR138" s="59"/>
      <c r="AS138" s="59"/>
      <c r="AT138" s="59"/>
      <c r="AU138" s="59"/>
      <c r="AV138" s="59"/>
      <c r="AW138" s="59"/>
      <c r="AX138" s="4"/>
      <c r="AY138" s="4"/>
      <c r="AZ138" s="4"/>
      <c r="BA138" s="4"/>
    </row>
    <row r="139" spans="1:53" ht="16.5" customHeight="1">
      <c r="A139" s="56"/>
      <c r="B139" s="56"/>
      <c r="C139" s="57"/>
      <c r="D139" s="57"/>
      <c r="E139" s="57"/>
      <c r="F139" s="57"/>
      <c r="G139" s="57"/>
      <c r="H139" s="57"/>
      <c r="I139" s="57"/>
      <c r="J139" s="57"/>
      <c r="K139" s="57"/>
      <c r="L139" s="57"/>
      <c r="M139" s="57"/>
      <c r="N139" s="57"/>
      <c r="O139" s="57"/>
      <c r="P139" s="57"/>
      <c r="Q139" s="57"/>
      <c r="R139" s="57"/>
      <c r="S139" s="57"/>
      <c r="T139" s="57"/>
      <c r="U139" s="58"/>
      <c r="V139" s="57"/>
      <c r="W139" s="57"/>
      <c r="X139" s="57"/>
      <c r="Y139" s="57"/>
      <c r="Z139" s="57"/>
      <c r="AA139" s="59"/>
      <c r="AB139" s="56"/>
      <c r="AC139" s="60"/>
      <c r="AD139" s="56"/>
      <c r="AE139" s="56"/>
      <c r="AF139" s="56"/>
      <c r="AG139" s="56"/>
      <c r="AH139" s="56"/>
      <c r="AI139" s="61"/>
      <c r="AJ139" s="59"/>
      <c r="AK139" s="59"/>
      <c r="AL139" s="59"/>
      <c r="AM139" s="59"/>
      <c r="AN139" s="59"/>
      <c r="AO139" s="59"/>
      <c r="AP139" s="59"/>
      <c r="AQ139" s="59"/>
      <c r="AR139" s="59"/>
      <c r="AS139" s="59"/>
      <c r="AT139" s="59"/>
      <c r="AU139" s="59"/>
      <c r="AV139" s="59"/>
      <c r="AW139" s="59"/>
      <c r="AX139" s="4"/>
      <c r="AY139" s="4"/>
      <c r="AZ139" s="4"/>
      <c r="BA139" s="4"/>
    </row>
    <row r="140" spans="1:53" ht="16.5" customHeight="1">
      <c r="A140" s="56"/>
      <c r="B140" s="56"/>
      <c r="C140" s="57"/>
      <c r="D140" s="57"/>
      <c r="E140" s="57"/>
      <c r="F140" s="57"/>
      <c r="G140" s="57"/>
      <c r="H140" s="57"/>
      <c r="I140" s="57"/>
      <c r="J140" s="57"/>
      <c r="K140" s="57"/>
      <c r="L140" s="57"/>
      <c r="M140" s="57"/>
      <c r="N140" s="57"/>
      <c r="O140" s="57"/>
      <c r="P140" s="57"/>
      <c r="Q140" s="57"/>
      <c r="R140" s="57"/>
      <c r="S140" s="57"/>
      <c r="T140" s="57"/>
      <c r="U140" s="58"/>
      <c r="V140" s="57"/>
      <c r="W140" s="57"/>
      <c r="X140" s="57"/>
      <c r="Y140" s="57"/>
      <c r="Z140" s="57"/>
      <c r="AA140" s="59"/>
      <c r="AB140" s="56"/>
      <c r="AC140" s="60"/>
      <c r="AD140" s="56"/>
      <c r="AE140" s="56"/>
      <c r="AF140" s="56"/>
      <c r="AG140" s="56"/>
      <c r="AH140" s="56"/>
      <c r="AI140" s="61"/>
      <c r="AJ140" s="59"/>
      <c r="AK140" s="59"/>
      <c r="AL140" s="59"/>
      <c r="AM140" s="59"/>
      <c r="AN140" s="59"/>
      <c r="AO140" s="59"/>
      <c r="AP140" s="59"/>
      <c r="AQ140" s="59"/>
      <c r="AR140" s="59"/>
      <c r="AS140" s="59"/>
      <c r="AT140" s="59"/>
      <c r="AU140" s="59"/>
      <c r="AV140" s="59"/>
      <c r="AW140" s="59"/>
      <c r="AX140" s="4"/>
      <c r="AY140" s="4"/>
      <c r="AZ140" s="4"/>
      <c r="BA140" s="4"/>
    </row>
    <row r="141" spans="1:53" ht="16.5" customHeight="1">
      <c r="A141" s="56"/>
      <c r="B141" s="56"/>
      <c r="C141" s="57"/>
      <c r="D141" s="57"/>
      <c r="E141" s="57"/>
      <c r="F141" s="57"/>
      <c r="G141" s="57"/>
      <c r="H141" s="57"/>
      <c r="I141" s="57"/>
      <c r="J141" s="57"/>
      <c r="K141" s="57"/>
      <c r="L141" s="57"/>
      <c r="M141" s="57"/>
      <c r="N141" s="57"/>
      <c r="O141" s="57"/>
      <c r="P141" s="57"/>
      <c r="Q141" s="57"/>
      <c r="R141" s="57"/>
      <c r="S141" s="57"/>
      <c r="T141" s="57"/>
      <c r="U141" s="58"/>
      <c r="V141" s="57"/>
      <c r="W141" s="57"/>
      <c r="X141" s="57"/>
      <c r="Y141" s="57"/>
      <c r="Z141" s="57"/>
      <c r="AA141" s="59"/>
      <c r="AB141" s="56"/>
      <c r="AC141" s="60"/>
      <c r="AD141" s="56"/>
      <c r="AE141" s="56"/>
      <c r="AF141" s="56"/>
      <c r="AG141" s="56"/>
      <c r="AH141" s="56"/>
      <c r="AI141" s="61"/>
      <c r="AJ141" s="59"/>
      <c r="AK141" s="59"/>
      <c r="AL141" s="59"/>
      <c r="AM141" s="59"/>
      <c r="AN141" s="59"/>
      <c r="AO141" s="59"/>
      <c r="AP141" s="59"/>
      <c r="AQ141" s="59"/>
      <c r="AR141" s="59"/>
      <c r="AS141" s="59"/>
      <c r="AT141" s="59"/>
      <c r="AU141" s="59"/>
      <c r="AV141" s="59"/>
      <c r="AW141" s="59"/>
      <c r="AX141" s="4"/>
      <c r="AY141" s="4"/>
      <c r="AZ141" s="4"/>
      <c r="BA141" s="4"/>
    </row>
    <row r="142" spans="36:53" ht="16.5" customHeight="1">
      <c r="AJ142" s="4"/>
      <c r="AK142" s="4"/>
      <c r="AL142" s="4"/>
      <c r="AM142" s="4"/>
      <c r="AN142" s="4"/>
      <c r="AO142" s="4"/>
      <c r="AP142" s="4"/>
      <c r="AQ142" s="4"/>
      <c r="AR142" s="4"/>
      <c r="AS142" s="4"/>
      <c r="AT142" s="4"/>
      <c r="AU142" s="4"/>
      <c r="AV142" s="4"/>
      <c r="AW142" s="4"/>
      <c r="AX142" s="4"/>
      <c r="AY142" s="4"/>
      <c r="AZ142" s="4"/>
      <c r="BA142" s="4"/>
    </row>
    <row r="143" spans="36:53" ht="16.5" customHeight="1">
      <c r="AJ143" s="4"/>
      <c r="AK143" s="4"/>
      <c r="AL143" s="4"/>
      <c r="AM143" s="4"/>
      <c r="AN143" s="4"/>
      <c r="AO143" s="4"/>
      <c r="AP143" s="4"/>
      <c r="AQ143" s="4"/>
      <c r="AR143" s="4"/>
      <c r="AS143" s="4"/>
      <c r="AT143" s="4"/>
      <c r="AU143" s="4"/>
      <c r="AV143" s="4"/>
      <c r="AW143" s="4"/>
      <c r="AX143" s="4"/>
      <c r="AY143" s="4"/>
      <c r="AZ143" s="4"/>
      <c r="BA143" s="4"/>
    </row>
    <row r="144" spans="36:53" ht="16.5" customHeight="1">
      <c r="AJ144" s="4"/>
      <c r="AK144" s="4"/>
      <c r="AL144" s="4"/>
      <c r="AM144" s="4"/>
      <c r="AN144" s="4"/>
      <c r="AO144" s="4"/>
      <c r="AP144" s="4"/>
      <c r="AQ144" s="4"/>
      <c r="AR144" s="4"/>
      <c r="AS144" s="4"/>
      <c r="AT144" s="4"/>
      <c r="AU144" s="4"/>
      <c r="AV144" s="4"/>
      <c r="AW144" s="4"/>
      <c r="AX144" s="4"/>
      <c r="AY144" s="4"/>
      <c r="AZ144" s="4"/>
      <c r="BA144" s="4"/>
    </row>
    <row r="145" spans="36:53" ht="16.5" customHeight="1">
      <c r="AJ145" s="4"/>
      <c r="AK145" s="4"/>
      <c r="AL145" s="4"/>
      <c r="AM145" s="4"/>
      <c r="AN145" s="4"/>
      <c r="AO145" s="4"/>
      <c r="AP145" s="4"/>
      <c r="AQ145" s="4"/>
      <c r="AR145" s="4"/>
      <c r="AS145" s="4"/>
      <c r="AT145" s="4"/>
      <c r="AU145" s="4"/>
      <c r="AV145" s="4"/>
      <c r="AW145" s="4"/>
      <c r="AX145" s="4"/>
      <c r="AY145" s="4"/>
      <c r="AZ145" s="4"/>
      <c r="BA145" s="4"/>
    </row>
    <row r="146" spans="36:53" ht="16.5" customHeight="1">
      <c r="AJ146" s="4"/>
      <c r="AK146" s="4"/>
      <c r="AL146" s="4"/>
      <c r="AM146" s="4"/>
      <c r="AN146" s="4"/>
      <c r="AO146" s="4"/>
      <c r="AP146" s="4"/>
      <c r="AQ146" s="4"/>
      <c r="AR146" s="4"/>
      <c r="AS146" s="4"/>
      <c r="AT146" s="4"/>
      <c r="AU146" s="4"/>
      <c r="AV146" s="4"/>
      <c r="AW146" s="4"/>
      <c r="AX146" s="4"/>
      <c r="AY146" s="4"/>
      <c r="AZ146" s="4"/>
      <c r="BA146" s="4"/>
    </row>
    <row r="147" spans="36:53" ht="16.5" customHeight="1">
      <c r="AJ147" s="4"/>
      <c r="AK147" s="4"/>
      <c r="AL147" s="4"/>
      <c r="AM147" s="4"/>
      <c r="AN147" s="4"/>
      <c r="AO147" s="4"/>
      <c r="AP147" s="4"/>
      <c r="AQ147" s="4"/>
      <c r="AR147" s="4"/>
      <c r="AS147" s="4"/>
      <c r="AT147" s="4"/>
      <c r="AU147" s="4"/>
      <c r="AV147" s="4"/>
      <c r="AW147" s="4"/>
      <c r="AX147" s="4"/>
      <c r="AY147" s="4"/>
      <c r="AZ147" s="4"/>
      <c r="BA147" s="4"/>
    </row>
    <row r="148" spans="36:53" ht="16.5" customHeight="1">
      <c r="AJ148" s="4"/>
      <c r="AK148" s="4"/>
      <c r="AL148" s="4"/>
      <c r="AM148" s="4"/>
      <c r="AN148" s="4"/>
      <c r="AO148" s="4"/>
      <c r="AP148" s="4"/>
      <c r="AQ148" s="4"/>
      <c r="AR148" s="4"/>
      <c r="AS148" s="4"/>
      <c r="AT148" s="4"/>
      <c r="AU148" s="4"/>
      <c r="AV148" s="4"/>
      <c r="AW148" s="4"/>
      <c r="AX148" s="4"/>
      <c r="AY148" s="4"/>
      <c r="AZ148" s="4"/>
      <c r="BA148" s="4"/>
    </row>
    <row r="149" spans="36:53" ht="16.5" customHeight="1">
      <c r="AJ149" s="4"/>
      <c r="AK149" s="4"/>
      <c r="AL149" s="4"/>
      <c r="AM149" s="4"/>
      <c r="AN149" s="4"/>
      <c r="AO149" s="4"/>
      <c r="AP149" s="4"/>
      <c r="AQ149" s="4"/>
      <c r="AR149" s="4"/>
      <c r="AS149" s="4"/>
      <c r="AT149" s="4"/>
      <c r="AU149" s="4"/>
      <c r="AV149" s="4"/>
      <c r="AW149" s="4"/>
      <c r="AX149" s="4"/>
      <c r="AY149" s="4"/>
      <c r="AZ149" s="4"/>
      <c r="BA149" s="4"/>
    </row>
  </sheetData>
  <sheetProtection/>
  <mergeCells count="67">
    <mergeCell ref="AJ7:AJ11"/>
    <mergeCell ref="U7:U11"/>
    <mergeCell ref="V7:V11"/>
    <mergeCell ref="AH7:AH11"/>
    <mergeCell ref="AI7:AI11"/>
    <mergeCell ref="AE9:AE11"/>
    <mergeCell ref="AF9:AF11"/>
    <mergeCell ref="AC7:AG7"/>
    <mergeCell ref="AD9:AD11"/>
    <mergeCell ref="AC9:AC11"/>
    <mergeCell ref="AS7:AS11"/>
    <mergeCell ref="AT7:AT11"/>
    <mergeCell ref="AL92:AP92"/>
    <mergeCell ref="AL93:AP93"/>
    <mergeCell ref="AK7:AK11"/>
    <mergeCell ref="AL7:AL11"/>
    <mergeCell ref="AM7:AM11"/>
    <mergeCell ref="AN7:AN11"/>
    <mergeCell ref="AC8:AE8"/>
    <mergeCell ref="AF8:AG8"/>
    <mergeCell ref="H9:H11"/>
    <mergeCell ref="I9:I11"/>
    <mergeCell ref="L7:L11"/>
    <mergeCell ref="M7:M11"/>
    <mergeCell ref="N7:N11"/>
    <mergeCell ref="AB7:AB11"/>
    <mergeCell ref="AG9:AG11"/>
    <mergeCell ref="AA6:AA11"/>
    <mergeCell ref="AB6:AH6"/>
    <mergeCell ref="J7:J11"/>
    <mergeCell ref="K7:K11"/>
    <mergeCell ref="T7:T11"/>
    <mergeCell ref="W7:W11"/>
    <mergeCell ref="P7:P11"/>
    <mergeCell ref="Q7:Q11"/>
    <mergeCell ref="R7:R11"/>
    <mergeCell ref="Y6:Y11"/>
    <mergeCell ref="Z6:Z11"/>
    <mergeCell ref="AI6:AX6"/>
    <mergeCell ref="AY6:AY11"/>
    <mergeCell ref="AZ6:AZ11"/>
    <mergeCell ref="BA6:BA11"/>
    <mergeCell ref="AU7:AU11"/>
    <mergeCell ref="AW7:AW11"/>
    <mergeCell ref="AO7:AO11"/>
    <mergeCell ref="AP7:AP11"/>
    <mergeCell ref="AQ7:AQ11"/>
    <mergeCell ref="AR7:AR11"/>
    <mergeCell ref="C6:C11"/>
    <mergeCell ref="D6:J6"/>
    <mergeCell ref="K6:W6"/>
    <mergeCell ref="X6:X11"/>
    <mergeCell ref="D7:D11"/>
    <mergeCell ref="E7:I7"/>
    <mergeCell ref="S7:S11"/>
    <mergeCell ref="E8:G11"/>
    <mergeCell ref="H8:I8"/>
    <mergeCell ref="AA5:BA5"/>
    <mergeCell ref="A5:A11"/>
    <mergeCell ref="B5:B11"/>
    <mergeCell ref="AM1:BA1"/>
    <mergeCell ref="A2:BA2"/>
    <mergeCell ref="A3:BA3"/>
    <mergeCell ref="AK4:BA4"/>
    <mergeCell ref="A1:B1"/>
    <mergeCell ref="C5:Z5"/>
    <mergeCell ref="O7:O11"/>
  </mergeCells>
  <printOptions horizontalCentered="1"/>
  <pageMargins left="0.25" right="0.25" top="0.5" bottom="0.25" header="0.5" footer="0.5"/>
  <pageSetup horizontalDpi="600" verticalDpi="600" orientation="landscape" paperSize="8" scale="50" r:id="rId3"/>
  <legacyDrawing r:id="rId2"/>
</worksheet>
</file>

<file path=xl/worksheets/sheet8.xml><?xml version="1.0" encoding="utf-8"?>
<worksheet xmlns="http://schemas.openxmlformats.org/spreadsheetml/2006/main" xmlns:r="http://schemas.openxmlformats.org/officeDocument/2006/relationships">
  <dimension ref="A1:J26"/>
  <sheetViews>
    <sheetView zoomScalePageLayoutView="0" workbookViewId="0" topLeftCell="A1">
      <selection activeCell="H16" sqref="H16"/>
    </sheetView>
  </sheetViews>
  <sheetFormatPr defaultColWidth="9.140625" defaultRowHeight="12.75"/>
  <cols>
    <col min="1" max="1" width="6.140625" style="77" customWidth="1"/>
    <col min="2" max="2" width="27.140625" style="77" customWidth="1"/>
    <col min="3" max="3" width="16.421875" style="76" customWidth="1"/>
    <col min="4" max="4" width="15.421875" style="76" customWidth="1"/>
    <col min="5" max="5" width="15.140625" style="76" customWidth="1"/>
    <col min="6" max="6" width="16.28125" style="77" customWidth="1"/>
    <col min="7" max="7" width="15.28125" style="77" customWidth="1"/>
    <col min="8" max="8" width="16.28125" style="77" customWidth="1"/>
    <col min="9" max="9" width="14.421875" style="77" customWidth="1"/>
    <col min="10" max="16384" width="9.140625" style="77" customWidth="1"/>
  </cols>
  <sheetData>
    <row r="1" spans="1:9" ht="18.75">
      <c r="A1" s="124" t="s">
        <v>799</v>
      </c>
      <c r="B1" s="124"/>
      <c r="C1" s="125"/>
      <c r="F1" s="1061" t="s">
        <v>1063</v>
      </c>
      <c r="G1" s="1061"/>
      <c r="H1" s="1061"/>
      <c r="I1" s="1061"/>
    </row>
    <row r="2" spans="1:9" ht="18.75">
      <c r="A2" s="1180" t="s">
        <v>1064</v>
      </c>
      <c r="B2" s="1180"/>
      <c r="C2" s="1180"/>
      <c r="D2" s="1180"/>
      <c r="E2" s="1180"/>
      <c r="F2" s="1180"/>
      <c r="G2" s="1180"/>
      <c r="H2" s="1180"/>
      <c r="I2" s="1180"/>
    </row>
    <row r="3" spans="1:9" ht="18.75">
      <c r="A3" s="1181" t="s">
        <v>1070</v>
      </c>
      <c r="B3" s="1181"/>
      <c r="C3" s="1181"/>
      <c r="D3" s="1181"/>
      <c r="E3" s="1181"/>
      <c r="F3" s="1181"/>
      <c r="G3" s="1181"/>
      <c r="H3" s="1181"/>
      <c r="I3" s="1181"/>
    </row>
    <row r="4" spans="1:9" ht="18.75">
      <c r="A4" s="1108"/>
      <c r="B4" s="1108"/>
      <c r="C4" s="1108"/>
      <c r="D4" s="1108"/>
      <c r="E4" s="1108"/>
      <c r="F4" s="1108"/>
      <c r="G4" s="1108"/>
      <c r="H4" s="1108"/>
      <c r="I4" s="1108"/>
    </row>
    <row r="5" spans="6:9" ht="18.75">
      <c r="F5" s="1172" t="s">
        <v>802</v>
      </c>
      <c r="G5" s="1172"/>
      <c r="H5" s="1172"/>
      <c r="I5" s="1172"/>
    </row>
    <row r="6" spans="1:9" ht="18.75" customHeight="1">
      <c r="A6" s="1169" t="s">
        <v>1038</v>
      </c>
      <c r="B6" s="1169" t="s">
        <v>1065</v>
      </c>
      <c r="C6" s="1175" t="s">
        <v>805</v>
      </c>
      <c r="D6" s="1176"/>
      <c r="E6" s="1177"/>
      <c r="F6" s="1176" t="s">
        <v>806</v>
      </c>
      <c r="G6" s="1176"/>
      <c r="H6" s="1176"/>
      <c r="I6" s="1169" t="s">
        <v>1066</v>
      </c>
    </row>
    <row r="7" spans="1:9" ht="18.75" customHeight="1">
      <c r="A7" s="1173"/>
      <c r="B7" s="1173"/>
      <c r="C7" s="1169" t="s">
        <v>807</v>
      </c>
      <c r="D7" s="1175" t="s">
        <v>1067</v>
      </c>
      <c r="E7" s="1176"/>
      <c r="F7" s="1169" t="s">
        <v>807</v>
      </c>
      <c r="G7" s="1175" t="s">
        <v>1067</v>
      </c>
      <c r="H7" s="1176"/>
      <c r="I7" s="1178"/>
    </row>
    <row r="8" spans="1:9" ht="24" customHeight="1">
      <c r="A8" s="1173"/>
      <c r="B8" s="1173"/>
      <c r="C8" s="1170"/>
      <c r="D8" s="1169" t="s">
        <v>1068</v>
      </c>
      <c r="E8" s="1169" t="s">
        <v>1069</v>
      </c>
      <c r="F8" s="1170"/>
      <c r="G8" s="1169" t="s">
        <v>1068</v>
      </c>
      <c r="H8" s="1169" t="s">
        <v>1069</v>
      </c>
      <c r="I8" s="1178"/>
    </row>
    <row r="9" spans="1:9" ht="11.25" customHeight="1">
      <c r="A9" s="1173"/>
      <c r="B9" s="1173"/>
      <c r="C9" s="1170"/>
      <c r="D9" s="1170"/>
      <c r="E9" s="1170"/>
      <c r="F9" s="1170"/>
      <c r="G9" s="1170"/>
      <c r="H9" s="1170"/>
      <c r="I9" s="1178"/>
    </row>
    <row r="10" spans="1:9" ht="14.25" customHeight="1" hidden="1">
      <c r="A10" s="1173"/>
      <c r="B10" s="1173"/>
      <c r="C10" s="1170"/>
      <c r="D10" s="1170"/>
      <c r="E10" s="1170"/>
      <c r="F10" s="1170"/>
      <c r="G10" s="1170"/>
      <c r="H10" s="1170"/>
      <c r="I10" s="1178"/>
    </row>
    <row r="11" spans="1:9" ht="24" customHeight="1" hidden="1">
      <c r="A11" s="1174"/>
      <c r="B11" s="1174"/>
      <c r="C11" s="1171"/>
      <c r="D11" s="1171"/>
      <c r="E11" s="1171"/>
      <c r="F11" s="1171"/>
      <c r="G11" s="1171"/>
      <c r="H11" s="1171"/>
      <c r="I11" s="1179"/>
    </row>
    <row r="12" spans="1:9" ht="24" customHeight="1">
      <c r="A12" s="126"/>
      <c r="B12" s="127" t="s">
        <v>1046</v>
      </c>
      <c r="C12" s="128">
        <f aca="true" t="shared" si="0" ref="C12:H12">SUM(C13:C22)</f>
        <v>3084019</v>
      </c>
      <c r="D12" s="128">
        <f t="shared" si="0"/>
        <v>2989553</v>
      </c>
      <c r="E12" s="128">
        <f t="shared" si="0"/>
        <v>94466</v>
      </c>
      <c r="F12" s="136">
        <f t="shared" si="0"/>
        <v>4078966.2199999997</v>
      </c>
      <c r="G12" s="128">
        <f t="shared" si="0"/>
        <v>2992553</v>
      </c>
      <c r="H12" s="136">
        <f t="shared" si="0"/>
        <v>1086413.22</v>
      </c>
      <c r="I12" s="129">
        <f>SUM(F12/C12)</f>
        <v>1.3226138425217224</v>
      </c>
    </row>
    <row r="13" spans="1:9" ht="18.75">
      <c r="A13" s="130">
        <v>1</v>
      </c>
      <c r="B13" s="131" t="s">
        <v>1050</v>
      </c>
      <c r="C13" s="132">
        <f>SUM(D13,E13)</f>
        <v>544924</v>
      </c>
      <c r="D13" s="132">
        <f>329508+203392</f>
        <v>532900</v>
      </c>
      <c r="E13" s="132">
        <v>12024</v>
      </c>
      <c r="F13" s="137">
        <f>SUM(G13:H13)</f>
        <v>652365.9299999999</v>
      </c>
      <c r="G13" s="132">
        <v>535900</v>
      </c>
      <c r="H13" s="137">
        <v>116465.93</v>
      </c>
      <c r="I13" s="133">
        <f>SUM(F13/C13)</f>
        <v>1.197168651041246</v>
      </c>
    </row>
    <row r="14" spans="1:9" ht="18.75">
      <c r="A14" s="130">
        <v>2</v>
      </c>
      <c r="B14" s="131" t="s">
        <v>1051</v>
      </c>
      <c r="C14" s="132">
        <f aca="true" t="shared" si="1" ref="C14:C22">SUM(D14,E14)</f>
        <v>404402</v>
      </c>
      <c r="D14" s="132">
        <f>252842+145909</f>
        <v>398751</v>
      </c>
      <c r="E14" s="132">
        <v>5651</v>
      </c>
      <c r="F14" s="137">
        <f aca="true" t="shared" si="2" ref="F14:F22">SUM(G14:H14)</f>
        <v>534581.75</v>
      </c>
      <c r="G14" s="132">
        <v>398751</v>
      </c>
      <c r="H14" s="137">
        <v>135830.75</v>
      </c>
      <c r="I14" s="133">
        <f aca="true" t="shared" si="3" ref="I14:I21">SUM(F14/C14)</f>
        <v>1.3219067907676025</v>
      </c>
    </row>
    <row r="15" spans="1:9" ht="18.75">
      <c r="A15" s="130">
        <v>4</v>
      </c>
      <c r="B15" s="131" t="s">
        <v>1052</v>
      </c>
      <c r="C15" s="132">
        <f t="shared" si="1"/>
        <v>253236</v>
      </c>
      <c r="D15" s="132">
        <f>154201+85774</f>
        <v>239975</v>
      </c>
      <c r="E15" s="132">
        <v>13261</v>
      </c>
      <c r="F15" s="137">
        <f t="shared" si="2"/>
        <v>356397.98</v>
      </c>
      <c r="G15" s="132">
        <v>239975</v>
      </c>
      <c r="H15" s="137">
        <v>116422.98</v>
      </c>
      <c r="I15" s="133">
        <f>SUM(F15/C15)</f>
        <v>1.4073748598145603</v>
      </c>
    </row>
    <row r="16" spans="1:9" ht="18.75">
      <c r="A16" s="130">
        <v>5</v>
      </c>
      <c r="B16" s="131" t="s">
        <v>1053</v>
      </c>
      <c r="C16" s="132">
        <f t="shared" si="1"/>
        <v>306926</v>
      </c>
      <c r="D16" s="132">
        <f>199343+104196</f>
        <v>303539</v>
      </c>
      <c r="E16" s="132">
        <v>3387</v>
      </c>
      <c r="F16" s="137">
        <f t="shared" si="2"/>
        <v>426316.25</v>
      </c>
      <c r="G16" s="132">
        <v>303539</v>
      </c>
      <c r="H16" s="137">
        <v>122777.25</v>
      </c>
      <c r="I16" s="133">
        <f t="shared" si="3"/>
        <v>1.388987084834781</v>
      </c>
    </row>
    <row r="17" spans="1:9" ht="18.75">
      <c r="A17" s="130">
        <v>3</v>
      </c>
      <c r="B17" s="131" t="s">
        <v>1054</v>
      </c>
      <c r="C17" s="132">
        <f>SUM(D17,E17)</f>
        <v>304241</v>
      </c>
      <c r="D17" s="132">
        <f>197301+92713</f>
        <v>290014</v>
      </c>
      <c r="E17" s="132">
        <v>14227</v>
      </c>
      <c r="F17" s="137">
        <f t="shared" si="2"/>
        <v>456296.6</v>
      </c>
      <c r="G17" s="132">
        <v>290014</v>
      </c>
      <c r="H17" s="137">
        <v>166282.6</v>
      </c>
      <c r="I17" s="133">
        <f t="shared" si="3"/>
        <v>1.4997866822683332</v>
      </c>
    </row>
    <row r="18" spans="1:9" ht="18.75">
      <c r="A18" s="130">
        <v>6</v>
      </c>
      <c r="B18" s="131" t="s">
        <v>1058</v>
      </c>
      <c r="C18" s="132">
        <f t="shared" si="1"/>
        <v>342348</v>
      </c>
      <c r="D18" s="132">
        <f>226406+99372</f>
        <v>325778</v>
      </c>
      <c r="E18" s="132">
        <v>16570</v>
      </c>
      <c r="F18" s="137">
        <f t="shared" si="2"/>
        <v>460784.5</v>
      </c>
      <c r="G18" s="132">
        <v>325778</v>
      </c>
      <c r="H18" s="137">
        <v>135006.5</v>
      </c>
      <c r="I18" s="133">
        <f t="shared" si="3"/>
        <v>1.3459535326626708</v>
      </c>
    </row>
    <row r="19" spans="1:9" ht="18.75">
      <c r="A19" s="130">
        <v>7</v>
      </c>
      <c r="B19" s="131" t="s">
        <v>1062</v>
      </c>
      <c r="C19" s="132">
        <f t="shared" si="1"/>
        <v>315458</v>
      </c>
      <c r="D19" s="132">
        <f>179799+124094</f>
        <v>303893</v>
      </c>
      <c r="E19" s="132">
        <v>11565</v>
      </c>
      <c r="F19" s="137">
        <f t="shared" si="2"/>
        <v>399756</v>
      </c>
      <c r="G19" s="132">
        <v>303893</v>
      </c>
      <c r="H19" s="137">
        <v>95863</v>
      </c>
      <c r="I19" s="133">
        <f t="shared" si="3"/>
        <v>1.267224162963057</v>
      </c>
    </row>
    <row r="20" spans="1:9" ht="18.75">
      <c r="A20" s="130">
        <v>8</v>
      </c>
      <c r="B20" s="131" t="s">
        <v>1057</v>
      </c>
      <c r="C20" s="132">
        <f t="shared" si="1"/>
        <v>82958</v>
      </c>
      <c r="D20" s="132">
        <f>58119+23935</f>
        <v>82054</v>
      </c>
      <c r="E20" s="132">
        <v>904</v>
      </c>
      <c r="F20" s="137">
        <f>SUM(G20:H20)</f>
        <v>100053.87</v>
      </c>
      <c r="G20" s="132">
        <v>82054</v>
      </c>
      <c r="H20" s="137">
        <v>17999.87</v>
      </c>
      <c r="I20" s="133">
        <f t="shared" si="3"/>
        <v>1.206078618095904</v>
      </c>
    </row>
    <row r="21" spans="1:9" ht="18.75">
      <c r="A21" s="130">
        <v>9</v>
      </c>
      <c r="B21" s="131" t="s">
        <v>1056</v>
      </c>
      <c r="C21" s="132">
        <f t="shared" si="1"/>
        <v>170239</v>
      </c>
      <c r="D21" s="132">
        <f>129561+39303</f>
        <v>168864</v>
      </c>
      <c r="E21" s="132">
        <v>1375</v>
      </c>
      <c r="F21" s="137">
        <f t="shared" si="2"/>
        <v>198670.02</v>
      </c>
      <c r="G21" s="132">
        <v>168864</v>
      </c>
      <c r="H21" s="137">
        <v>29806.02</v>
      </c>
      <c r="I21" s="133">
        <f t="shared" si="3"/>
        <v>1.1670065026227832</v>
      </c>
    </row>
    <row r="22" spans="1:9" ht="18.75">
      <c r="A22" s="130">
        <v>10</v>
      </c>
      <c r="B22" s="131" t="s">
        <v>1055</v>
      </c>
      <c r="C22" s="132">
        <f t="shared" si="1"/>
        <v>359287</v>
      </c>
      <c r="D22" s="132">
        <f>216515+127270</f>
        <v>343785</v>
      </c>
      <c r="E22" s="132">
        <v>15502</v>
      </c>
      <c r="F22" s="137">
        <f t="shared" si="2"/>
        <v>493743.32</v>
      </c>
      <c r="G22" s="132">
        <v>343785</v>
      </c>
      <c r="H22" s="137">
        <v>149958.32</v>
      </c>
      <c r="I22" s="133">
        <f>SUM(F22/C22)</f>
        <v>1.3742309629905898</v>
      </c>
    </row>
    <row r="23" spans="1:9" ht="18.75">
      <c r="A23" s="134"/>
      <c r="B23" s="134"/>
      <c r="C23" s="135"/>
      <c r="D23" s="135"/>
      <c r="E23" s="135"/>
      <c r="F23" s="134"/>
      <c r="G23" s="134"/>
      <c r="H23" s="134"/>
      <c r="I23" s="134"/>
    </row>
    <row r="24" ht="11.25" customHeight="1"/>
    <row r="25" spans="6:10" ht="18.75">
      <c r="F25" s="1041"/>
      <c r="G25" s="1041"/>
      <c r="H25" s="1041"/>
      <c r="I25" s="1041"/>
      <c r="J25" s="1041"/>
    </row>
    <row r="26" spans="6:10" ht="18.75">
      <c r="F26" s="1042"/>
      <c r="G26" s="1042"/>
      <c r="H26" s="1042"/>
      <c r="I26" s="1042"/>
      <c r="J26" s="1042"/>
    </row>
  </sheetData>
  <sheetProtection/>
  <mergeCells count="20">
    <mergeCell ref="F1:I1"/>
    <mergeCell ref="A2:I2"/>
    <mergeCell ref="A3:I3"/>
    <mergeCell ref="A4:I4"/>
    <mergeCell ref="F5:I5"/>
    <mergeCell ref="A6:A11"/>
    <mergeCell ref="B6:B11"/>
    <mergeCell ref="C6:E6"/>
    <mergeCell ref="F6:H6"/>
    <mergeCell ref="I6:I11"/>
    <mergeCell ref="C7:C11"/>
    <mergeCell ref="D7:E7"/>
    <mergeCell ref="F7:F11"/>
    <mergeCell ref="G7:H7"/>
    <mergeCell ref="F25:J25"/>
    <mergeCell ref="F26:J26"/>
    <mergeCell ref="D8:D11"/>
    <mergeCell ref="E8:E11"/>
    <mergeCell ref="G8:G11"/>
    <mergeCell ref="H8:H11"/>
  </mergeCells>
  <printOptions horizontalCentered="1"/>
  <pageMargins left="0.25" right="0.25" top="0.5" bottom="0.25" header="0.5" footer="0.5"/>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ER966"/>
  <sheetViews>
    <sheetView zoomScalePageLayoutView="0" workbookViewId="0" topLeftCell="A1">
      <pane xSplit="2" ySplit="6" topLeftCell="J7" activePane="bottomRight" state="frozen"/>
      <selection pane="topLeft" activeCell="A1" sqref="A1"/>
      <selection pane="topRight" activeCell="C1" sqref="C1"/>
      <selection pane="bottomLeft" activeCell="A7" sqref="A7"/>
      <selection pane="bottomRight" activeCell="U8" sqref="U8"/>
    </sheetView>
  </sheetViews>
  <sheetFormatPr defaultColWidth="9.140625" defaultRowHeight="12.75"/>
  <cols>
    <col min="1" max="1" width="4.8515625" style="176" customWidth="1"/>
    <col min="2" max="2" width="57.7109375" style="590" customWidth="1"/>
    <col min="3" max="3" width="12.140625" style="176" customWidth="1"/>
    <col min="4" max="4" width="10.421875" style="176" customWidth="1"/>
    <col min="5" max="5" width="12.7109375" style="177" customWidth="1"/>
    <col min="6" max="6" width="9.421875" style="591" customWidth="1"/>
    <col min="7" max="8" width="9.140625" style="178" customWidth="1"/>
    <col min="9" max="9" width="12.8515625" style="179" customWidth="1"/>
    <col min="10" max="10" width="10.7109375" style="179" customWidth="1"/>
    <col min="11" max="11" width="12.8515625" style="190" customWidth="1"/>
    <col min="12" max="12" width="15.7109375" style="190" hidden="1" customWidth="1"/>
    <col min="13" max="13" width="12.28125" style="190" customWidth="1"/>
    <col min="14" max="14" width="13.57421875" style="592" customWidth="1"/>
    <col min="15" max="15" width="12.00390625" style="592" customWidth="1"/>
    <col min="16" max="16" width="12.7109375" style="592" customWidth="1"/>
    <col min="17" max="17" width="13.00390625" style="592" hidden="1" customWidth="1"/>
    <col min="18" max="18" width="14.28125" style="592" hidden="1" customWidth="1"/>
    <col min="19" max="19" width="12.7109375" style="592" hidden="1" customWidth="1"/>
    <col min="20" max="20" width="14.28125" style="592" hidden="1" customWidth="1"/>
    <col min="21" max="21" width="12.00390625" style="571" customWidth="1"/>
    <col min="22" max="22" width="14.28125" style="192" hidden="1" customWidth="1"/>
    <col min="23" max="23" width="15.28125" style="192" hidden="1" customWidth="1"/>
    <col min="24" max="24" width="15.00390625" style="192" hidden="1" customWidth="1"/>
    <col min="25" max="25" width="15.7109375" style="192" hidden="1" customWidth="1"/>
    <col min="26" max="27" width="12.00390625" style="571" hidden="1" customWidth="1"/>
    <col min="28" max="28" width="15.421875" style="571" hidden="1" customWidth="1"/>
    <col min="29" max="32" width="14.28125" style="571" hidden="1" customWidth="1"/>
    <col min="33" max="33" width="13.57421875" style="192" hidden="1" customWidth="1"/>
    <col min="34" max="36" width="14.28125" style="192" hidden="1" customWidth="1"/>
    <col min="37" max="37" width="13.28125" style="571" hidden="1" customWidth="1"/>
    <col min="38" max="38" width="13.28125" style="572" hidden="1" customWidth="1"/>
    <col min="39" max="39" width="14.140625" style="186" hidden="1" customWidth="1"/>
    <col min="40" max="40" width="7.57421875" style="185" hidden="1" customWidth="1"/>
    <col min="41" max="41" width="22.28125" style="186" hidden="1" customWidth="1"/>
    <col min="42" max="16384" width="9.140625" style="186" customWidth="1"/>
  </cols>
  <sheetData>
    <row r="1" spans="2:39" ht="13.5">
      <c r="B1" s="177"/>
      <c r="F1" s="178"/>
      <c r="K1" s="180"/>
      <c r="L1" s="180"/>
      <c r="M1" s="180"/>
      <c r="N1" s="1061" t="s">
        <v>1318</v>
      </c>
      <c r="O1" s="1061"/>
      <c r="P1" s="1061"/>
      <c r="Q1" s="1061"/>
      <c r="R1" s="1061"/>
      <c r="S1" s="1061"/>
      <c r="T1" s="1061"/>
      <c r="U1" s="1061"/>
      <c r="V1" s="182"/>
      <c r="W1" s="182"/>
      <c r="X1" s="182"/>
      <c r="Y1" s="182"/>
      <c r="Z1" s="181"/>
      <c r="AA1" s="181"/>
      <c r="AB1" s="181"/>
      <c r="AC1" s="181"/>
      <c r="AD1" s="181"/>
      <c r="AE1" s="181"/>
      <c r="AF1" s="181"/>
      <c r="AG1" s="182"/>
      <c r="AH1" s="182"/>
      <c r="AI1" s="182"/>
      <c r="AJ1" s="182"/>
      <c r="AK1" s="181"/>
      <c r="AL1" s="183"/>
      <c r="AM1" s="184"/>
    </row>
    <row r="2" spans="1:40" s="595" customFormat="1" ht="18.75">
      <c r="A2" s="1220" t="s">
        <v>983</v>
      </c>
      <c r="B2" s="1220"/>
      <c r="C2" s="1220"/>
      <c r="D2" s="1220"/>
      <c r="E2" s="1220"/>
      <c r="F2" s="1220"/>
      <c r="G2" s="1220"/>
      <c r="H2" s="1220"/>
      <c r="I2" s="1220"/>
      <c r="J2" s="1220"/>
      <c r="K2" s="1220"/>
      <c r="L2" s="1220"/>
      <c r="M2" s="1220"/>
      <c r="N2" s="1220"/>
      <c r="O2" s="1220"/>
      <c r="P2" s="1220"/>
      <c r="Q2" s="1220"/>
      <c r="R2" s="1220"/>
      <c r="S2" s="1220"/>
      <c r="T2" s="1220"/>
      <c r="U2" s="1220"/>
      <c r="V2" s="1220"/>
      <c r="W2" s="1220"/>
      <c r="X2" s="1220"/>
      <c r="Y2" s="1220"/>
      <c r="Z2" s="1220"/>
      <c r="AA2" s="1220"/>
      <c r="AB2" s="1220"/>
      <c r="AC2" s="1220"/>
      <c r="AD2" s="1220"/>
      <c r="AE2" s="1220"/>
      <c r="AF2" s="1220"/>
      <c r="AG2" s="1220"/>
      <c r="AH2" s="1220"/>
      <c r="AI2" s="1220"/>
      <c r="AJ2" s="1220"/>
      <c r="AK2" s="1220"/>
      <c r="AL2" s="1220"/>
      <c r="AM2" s="1220"/>
      <c r="AN2" s="594"/>
    </row>
    <row r="3" spans="1:40" s="193" customFormat="1" ht="13.5">
      <c r="A3" s="187" t="s">
        <v>1112</v>
      </c>
      <c r="B3" s="188"/>
      <c r="C3" s="187"/>
      <c r="D3" s="187"/>
      <c r="E3" s="189"/>
      <c r="F3" s="1221"/>
      <c r="G3" s="1222"/>
      <c r="H3" s="1222"/>
      <c r="I3" s="1219" t="s">
        <v>802</v>
      </c>
      <c r="J3" s="1219"/>
      <c r="K3" s="1219"/>
      <c r="L3" s="1219"/>
      <c r="M3" s="1219"/>
      <c r="N3" s="1219"/>
      <c r="O3" s="1219"/>
      <c r="P3" s="1219"/>
      <c r="Q3" s="1219"/>
      <c r="R3" s="1219"/>
      <c r="S3" s="1219"/>
      <c r="T3" s="1219"/>
      <c r="U3" s="1219"/>
      <c r="V3" s="192"/>
      <c r="W3" s="192"/>
      <c r="X3" s="192"/>
      <c r="Y3" s="192"/>
      <c r="Z3" s="192"/>
      <c r="AA3" s="192"/>
      <c r="AB3" s="192"/>
      <c r="AC3" s="191"/>
      <c r="AD3" s="191"/>
      <c r="AE3" s="191"/>
      <c r="AF3" s="191"/>
      <c r="AG3" s="192"/>
      <c r="AH3" s="192"/>
      <c r="AI3" s="192"/>
      <c r="AJ3" s="192"/>
      <c r="AK3" s="191"/>
      <c r="AL3" s="1223" t="s">
        <v>1113</v>
      </c>
      <c r="AM3" s="1223"/>
      <c r="AN3" s="185"/>
    </row>
    <row r="4" spans="1:40" s="197" customFormat="1" ht="12.75" customHeight="1">
      <c r="A4" s="1224" t="s">
        <v>1038</v>
      </c>
      <c r="B4" s="1225" t="s">
        <v>1216</v>
      </c>
      <c r="C4" s="1182" t="s">
        <v>1217</v>
      </c>
      <c r="D4" s="1182" t="s">
        <v>1218</v>
      </c>
      <c r="E4" s="1182" t="s">
        <v>1219</v>
      </c>
      <c r="F4" s="1182" t="s">
        <v>1220</v>
      </c>
      <c r="G4" s="1182" t="s">
        <v>1221</v>
      </c>
      <c r="H4" s="1182" t="s">
        <v>1222</v>
      </c>
      <c r="I4" s="1185" t="s">
        <v>1223</v>
      </c>
      <c r="J4" s="1186"/>
      <c r="K4" s="1186"/>
      <c r="L4" s="1186"/>
      <c r="M4" s="1187"/>
      <c r="N4" s="1188" t="s">
        <v>1224</v>
      </c>
      <c r="O4" s="1189"/>
      <c r="P4" s="1189"/>
      <c r="Q4" s="1189"/>
      <c r="R4" s="1189"/>
      <c r="S4" s="1189"/>
      <c r="T4" s="1189"/>
      <c r="U4" s="1190"/>
      <c r="V4" s="1191" t="s">
        <v>1225</v>
      </c>
      <c r="W4" s="1192"/>
      <c r="X4" s="1193"/>
      <c r="Y4" s="1194" t="s">
        <v>1226</v>
      </c>
      <c r="Z4" s="1207" t="s">
        <v>1227</v>
      </c>
      <c r="AA4" s="1208"/>
      <c r="AB4" s="1216" t="s">
        <v>1228</v>
      </c>
      <c r="AC4" s="1188" t="s">
        <v>1224</v>
      </c>
      <c r="AD4" s="1189"/>
      <c r="AE4" s="1189"/>
      <c r="AF4" s="1190"/>
      <c r="AG4" s="1194" t="s">
        <v>1229</v>
      </c>
      <c r="AH4" s="1213" t="s">
        <v>1230</v>
      </c>
      <c r="AI4" s="1214"/>
      <c r="AJ4" s="1214"/>
      <c r="AK4" s="1214"/>
      <c r="AL4" s="1215"/>
      <c r="AM4" s="1182" t="s">
        <v>1231</v>
      </c>
      <c r="AN4" s="196"/>
    </row>
    <row r="5" spans="1:40" s="197" customFormat="1" ht="12.75">
      <c r="A5" s="1224"/>
      <c r="B5" s="1225"/>
      <c r="C5" s="1183"/>
      <c r="D5" s="1183"/>
      <c r="E5" s="1183"/>
      <c r="F5" s="1183"/>
      <c r="G5" s="1183"/>
      <c r="H5" s="1183"/>
      <c r="I5" s="1196" t="s">
        <v>807</v>
      </c>
      <c r="J5" s="1196" t="s">
        <v>1232</v>
      </c>
      <c r="K5" s="1198" t="s">
        <v>1233</v>
      </c>
      <c r="L5" s="1199"/>
      <c r="M5" s="1200"/>
      <c r="N5" s="1201" t="s">
        <v>807</v>
      </c>
      <c r="O5" s="1196" t="s">
        <v>1232</v>
      </c>
      <c r="P5" s="1203" t="s">
        <v>945</v>
      </c>
      <c r="Q5" s="1204"/>
      <c r="R5" s="1204"/>
      <c r="S5" s="1204"/>
      <c r="T5" s="1204"/>
      <c r="U5" s="1205"/>
      <c r="V5" s="1194" t="s">
        <v>807</v>
      </c>
      <c r="W5" s="1194" t="s">
        <v>1234</v>
      </c>
      <c r="X5" s="1194" t="s">
        <v>1235</v>
      </c>
      <c r="Y5" s="1206"/>
      <c r="Z5" s="1209"/>
      <c r="AA5" s="1210"/>
      <c r="AB5" s="1217"/>
      <c r="AC5" s="1194" t="s">
        <v>807</v>
      </c>
      <c r="AD5" s="1188" t="s">
        <v>945</v>
      </c>
      <c r="AE5" s="1189"/>
      <c r="AF5" s="1190"/>
      <c r="AG5" s="1206"/>
      <c r="AH5" s="1194" t="s">
        <v>807</v>
      </c>
      <c r="AI5" s="1188" t="s">
        <v>1236</v>
      </c>
      <c r="AJ5" s="1189"/>
      <c r="AK5" s="1190"/>
      <c r="AL5" s="1211" t="s">
        <v>1237</v>
      </c>
      <c r="AM5" s="1183"/>
      <c r="AN5" s="196"/>
    </row>
    <row r="6" spans="1:40" s="197" customFormat="1" ht="51">
      <c r="A6" s="1224"/>
      <c r="B6" s="1225"/>
      <c r="C6" s="1184"/>
      <c r="D6" s="1184"/>
      <c r="E6" s="1184"/>
      <c r="F6" s="1184"/>
      <c r="G6" s="1184"/>
      <c r="H6" s="1184"/>
      <c r="I6" s="1197"/>
      <c r="J6" s="1197"/>
      <c r="K6" s="198" t="s">
        <v>1238</v>
      </c>
      <c r="L6" s="199" t="s">
        <v>1239</v>
      </c>
      <c r="M6" s="199" t="s">
        <v>1240</v>
      </c>
      <c r="N6" s="1202"/>
      <c r="O6" s="1197"/>
      <c r="P6" s="200" t="s">
        <v>1238</v>
      </c>
      <c r="Q6" s="201" t="s">
        <v>1241</v>
      </c>
      <c r="R6" s="201" t="s">
        <v>1242</v>
      </c>
      <c r="S6" s="202" t="s">
        <v>1243</v>
      </c>
      <c r="T6" s="201" t="s">
        <v>1239</v>
      </c>
      <c r="U6" s="203" t="s">
        <v>1240</v>
      </c>
      <c r="V6" s="1195"/>
      <c r="W6" s="1195"/>
      <c r="X6" s="1195"/>
      <c r="Y6" s="1195"/>
      <c r="Z6" s="204" t="s">
        <v>1244</v>
      </c>
      <c r="AA6" s="204" t="s">
        <v>1245</v>
      </c>
      <c r="AB6" s="1218"/>
      <c r="AC6" s="1195"/>
      <c r="AD6" s="195" t="s">
        <v>1241</v>
      </c>
      <c r="AE6" s="195" t="s">
        <v>1242</v>
      </c>
      <c r="AF6" s="205" t="s">
        <v>1243</v>
      </c>
      <c r="AG6" s="1195"/>
      <c r="AH6" s="1195"/>
      <c r="AI6" s="194" t="s">
        <v>1246</v>
      </c>
      <c r="AJ6" s="194" t="s">
        <v>1247</v>
      </c>
      <c r="AK6" s="204" t="s">
        <v>1248</v>
      </c>
      <c r="AL6" s="1212"/>
      <c r="AM6" s="1184"/>
      <c r="AN6" s="196"/>
    </row>
    <row r="7" spans="1:40" s="215" customFormat="1" ht="19.5" customHeight="1">
      <c r="A7" s="206"/>
      <c r="B7" s="207" t="s">
        <v>1046</v>
      </c>
      <c r="C7" s="208"/>
      <c r="D7" s="208"/>
      <c r="E7" s="209"/>
      <c r="F7" s="210"/>
      <c r="G7" s="211"/>
      <c r="H7" s="211"/>
      <c r="I7" s="212">
        <f aca="true" t="shared" si="0" ref="I7:U7">SUM(I8,I258,I268,I654,I892)</f>
        <v>1640241.191058</v>
      </c>
      <c r="J7" s="212">
        <f t="shared" si="0"/>
        <v>39897.551600000006</v>
      </c>
      <c r="K7" s="212">
        <f t="shared" si="0"/>
        <v>1347882.4563769998</v>
      </c>
      <c r="L7" s="212">
        <f t="shared" si="0"/>
        <v>0</v>
      </c>
      <c r="M7" s="212">
        <f t="shared" si="0"/>
        <v>292358.74885300006</v>
      </c>
      <c r="N7" s="212">
        <f t="shared" si="0"/>
        <v>1472057.044236</v>
      </c>
      <c r="O7" s="212">
        <f t="shared" si="0"/>
        <v>35017.8446</v>
      </c>
      <c r="P7" s="212">
        <f t="shared" si="0"/>
        <v>1228399.5432019997</v>
      </c>
      <c r="Q7" s="212">
        <f t="shared" si="0"/>
        <v>933429.6051860001</v>
      </c>
      <c r="R7" s="212" t="e">
        <f t="shared" si="0"/>
        <v>#REF!</v>
      </c>
      <c r="S7" s="212" t="e">
        <f t="shared" si="0"/>
        <v>#REF!</v>
      </c>
      <c r="T7" s="212" t="e">
        <f t="shared" si="0"/>
        <v>#REF!</v>
      </c>
      <c r="U7" s="212">
        <f t="shared" si="0"/>
        <v>243657.504346</v>
      </c>
      <c r="V7" s="213" t="e">
        <f>#REF!+#REF!+#REF!</f>
        <v>#REF!</v>
      </c>
      <c r="W7" s="213" t="e">
        <f>#REF!+#REF!+#REF!</f>
        <v>#REF!</v>
      </c>
      <c r="X7" s="213" t="e">
        <f>#REF!+#REF!+#REF!</f>
        <v>#REF!</v>
      </c>
      <c r="Y7" s="213" t="e">
        <f>#REF!+#REF!+#REF!</f>
        <v>#REF!</v>
      </c>
      <c r="Z7" s="213" t="e">
        <f>#REF!+#REF!+#REF!</f>
        <v>#REF!</v>
      </c>
      <c r="AA7" s="213" t="e">
        <f>#REF!+#REF!+#REF!</f>
        <v>#REF!</v>
      </c>
      <c r="AB7" s="213" t="e">
        <f>#REF!+#REF!+#REF!</f>
        <v>#REF!</v>
      </c>
      <c r="AC7" s="213" t="e">
        <f>#REF!+#REF!+#REF!</f>
        <v>#REF!</v>
      </c>
      <c r="AD7" s="213" t="e">
        <f>#REF!+#REF!+#REF!</f>
        <v>#REF!</v>
      </c>
      <c r="AE7" s="213" t="e">
        <f>#REF!+#REF!+#REF!</f>
        <v>#REF!</v>
      </c>
      <c r="AF7" s="213" t="e">
        <f>#REF!+#REF!+#REF!</f>
        <v>#REF!</v>
      </c>
      <c r="AG7" s="213" t="e">
        <f>#REF!+#REF!+#REF!</f>
        <v>#REF!</v>
      </c>
      <c r="AH7" s="213" t="e">
        <f>#REF!+#REF!+#REF!</f>
        <v>#REF!</v>
      </c>
      <c r="AI7" s="213" t="e">
        <f>#REF!+#REF!+#REF!</f>
        <v>#REF!</v>
      </c>
      <c r="AJ7" s="213" t="e">
        <f>#REF!+#REF!+#REF!</f>
        <v>#REF!</v>
      </c>
      <c r="AK7" s="213" t="e">
        <f>#REF!+#REF!+#REF!</f>
        <v>#REF!</v>
      </c>
      <c r="AL7" s="211" t="e">
        <f>#REF!+#REF!+#REF!</f>
        <v>#REF!</v>
      </c>
      <c r="AM7" s="211" t="e">
        <f>#REF!+#REF!+#REF!</f>
        <v>#REF!</v>
      </c>
      <c r="AN7" s="214"/>
    </row>
    <row r="8" spans="1:41" s="196" customFormat="1" ht="19.5" customHeight="1">
      <c r="A8" s="216" t="s">
        <v>952</v>
      </c>
      <c r="B8" s="217" t="s">
        <v>1249</v>
      </c>
      <c r="C8" s="218"/>
      <c r="D8" s="218"/>
      <c r="E8" s="219"/>
      <c r="F8" s="220"/>
      <c r="G8" s="221"/>
      <c r="H8" s="221"/>
      <c r="I8" s="222">
        <f aca="true" t="shared" si="1" ref="I8:U8">SUM(I9,I71)</f>
        <v>175621.953</v>
      </c>
      <c r="J8" s="222">
        <f t="shared" si="1"/>
        <v>0</v>
      </c>
      <c r="K8" s="222">
        <f t="shared" si="1"/>
        <v>175621.953</v>
      </c>
      <c r="L8" s="222">
        <f t="shared" si="1"/>
        <v>0</v>
      </c>
      <c r="M8" s="222">
        <f t="shared" si="1"/>
        <v>0</v>
      </c>
      <c r="N8" s="222">
        <f t="shared" si="1"/>
        <v>179360.74512399998</v>
      </c>
      <c r="O8" s="222"/>
      <c r="P8" s="222">
        <f t="shared" si="1"/>
        <v>179360.74512399998</v>
      </c>
      <c r="Q8" s="222">
        <f t="shared" si="1"/>
        <v>131628.59810499998</v>
      </c>
      <c r="R8" s="222">
        <f t="shared" si="1"/>
        <v>38.658</v>
      </c>
      <c r="S8" s="222">
        <f t="shared" si="1"/>
        <v>8928.014019</v>
      </c>
      <c r="T8" s="222">
        <f t="shared" si="1"/>
        <v>0</v>
      </c>
      <c r="U8" s="222">
        <f t="shared" si="1"/>
        <v>0</v>
      </c>
      <c r="V8" s="223" t="e">
        <f>V9+V72+V259+#REF!+#REF!+V266</f>
        <v>#REF!</v>
      </c>
      <c r="W8" s="223" t="e">
        <f>W9+W72+W259+#REF!+#REF!+W266</f>
        <v>#REF!</v>
      </c>
      <c r="X8" s="223" t="e">
        <f>X9+X72+X259+#REF!+#REF!+X266</f>
        <v>#REF!</v>
      </c>
      <c r="Y8" s="223" t="e">
        <f>Y9+Y72+Y259+#REF!+#REF!+Y266</f>
        <v>#REF!</v>
      </c>
      <c r="Z8" s="223" t="e">
        <f>Z9+Z72+Z259+#REF!+#REF!+Z266</f>
        <v>#REF!</v>
      </c>
      <c r="AA8" s="223" t="e">
        <f>AA9+AA72+AA259+#REF!+#REF!+AA266</f>
        <v>#REF!</v>
      </c>
      <c r="AB8" s="223" t="e">
        <f>AB9+AB72+AB259+#REF!+#REF!+AB266</f>
        <v>#REF!</v>
      </c>
      <c r="AC8" s="223" t="e">
        <f>AC9+AC72+AC259+#REF!+#REF!+AC266</f>
        <v>#REF!</v>
      </c>
      <c r="AD8" s="223" t="e">
        <f>AD9+AD72+AD259+#REF!+#REF!+AD266</f>
        <v>#REF!</v>
      </c>
      <c r="AE8" s="223" t="e">
        <f>AE9+AE72+AE259+#REF!+#REF!+AE266</f>
        <v>#REF!</v>
      </c>
      <c r="AF8" s="223" t="e">
        <f>AF9+AF72+AF259+#REF!+#REF!+AF266</f>
        <v>#REF!</v>
      </c>
      <c r="AG8" s="223" t="e">
        <f>AG9+AG72+AG259+#REF!+#REF!+AG266</f>
        <v>#REF!</v>
      </c>
      <c r="AH8" s="223" t="e">
        <f>AH9+AH72+AH259+#REF!+#REF!+AH266</f>
        <v>#REF!</v>
      </c>
      <c r="AI8" s="223" t="e">
        <f>AI9+AI72+AI259+#REF!+#REF!+AI266</f>
        <v>#REF!</v>
      </c>
      <c r="AJ8" s="223" t="e">
        <f>AJ9+AJ72+AJ259+#REF!+#REF!+AJ266</f>
        <v>#REF!</v>
      </c>
      <c r="AK8" s="223" t="e">
        <f>AK9+AK72+AK259+#REF!+#REF!+AK266</f>
        <v>#REF!</v>
      </c>
      <c r="AL8" s="223" t="e">
        <f>AL9+AL72+AL259+#REF!+#REF!+AL266</f>
        <v>#REF!</v>
      </c>
      <c r="AM8" s="223" t="e">
        <f>AM9+AM72+AM259+#REF!+#REF!+AM266</f>
        <v>#REF!</v>
      </c>
      <c r="AO8" s="224"/>
    </row>
    <row r="9" spans="1:41" s="225" customFormat="1" ht="19.5" customHeight="1">
      <c r="A9" s="216">
        <v>1</v>
      </c>
      <c r="B9" s="217" t="s">
        <v>1250</v>
      </c>
      <c r="C9" s="218"/>
      <c r="D9" s="218"/>
      <c r="E9" s="219"/>
      <c r="F9" s="220"/>
      <c r="G9" s="221"/>
      <c r="H9" s="221"/>
      <c r="I9" s="222">
        <f aca="true" t="shared" si="2" ref="I9:U9">SUM(I10,I32,I64)</f>
        <v>24635.613</v>
      </c>
      <c r="J9" s="222">
        <f t="shared" si="2"/>
        <v>0</v>
      </c>
      <c r="K9" s="222">
        <f t="shared" si="2"/>
        <v>24635.613</v>
      </c>
      <c r="L9" s="223">
        <f t="shared" si="2"/>
        <v>0</v>
      </c>
      <c r="M9" s="223">
        <f t="shared" si="2"/>
        <v>0</v>
      </c>
      <c r="N9" s="222">
        <f t="shared" si="2"/>
        <v>23030.626</v>
      </c>
      <c r="O9" s="222"/>
      <c r="P9" s="222">
        <f t="shared" si="2"/>
        <v>23030.626</v>
      </c>
      <c r="Q9" s="222">
        <f t="shared" si="2"/>
        <v>9145.012999999999</v>
      </c>
      <c r="R9" s="222">
        <f t="shared" si="2"/>
        <v>0</v>
      </c>
      <c r="S9" s="222">
        <f t="shared" si="2"/>
        <v>0</v>
      </c>
      <c r="T9" s="222">
        <f t="shared" si="2"/>
        <v>0</v>
      </c>
      <c r="U9" s="222">
        <f t="shared" si="2"/>
        <v>0</v>
      </c>
      <c r="V9" s="223">
        <f aca="true" t="shared" si="3" ref="V9:AK9">V11+V14</f>
        <v>0</v>
      </c>
      <c r="W9" s="223">
        <f t="shared" si="3"/>
        <v>0</v>
      </c>
      <c r="X9" s="223">
        <f t="shared" si="3"/>
        <v>0</v>
      </c>
      <c r="Y9" s="223">
        <f t="shared" si="3"/>
        <v>10750000000</v>
      </c>
      <c r="Z9" s="223">
        <f t="shared" si="3"/>
        <v>648190000</v>
      </c>
      <c r="AA9" s="223">
        <f t="shared" si="3"/>
        <v>899047000</v>
      </c>
      <c r="AB9" s="223">
        <f t="shared" si="3"/>
        <v>10499143000</v>
      </c>
      <c r="AC9" s="223">
        <f t="shared" si="3"/>
        <v>9145013000</v>
      </c>
      <c r="AD9" s="223">
        <f t="shared" si="3"/>
        <v>9145013000</v>
      </c>
      <c r="AE9" s="223">
        <f t="shared" si="3"/>
        <v>0</v>
      </c>
      <c r="AF9" s="223">
        <f t="shared" si="3"/>
        <v>0</v>
      </c>
      <c r="AG9" s="223">
        <f t="shared" si="3"/>
        <v>0</v>
      </c>
      <c r="AH9" s="223">
        <f t="shared" si="3"/>
        <v>1354130000</v>
      </c>
      <c r="AI9" s="223">
        <f t="shared" si="3"/>
        <v>0</v>
      </c>
      <c r="AJ9" s="223">
        <f t="shared" si="3"/>
        <v>0</v>
      </c>
      <c r="AK9" s="223">
        <f t="shared" si="3"/>
        <v>0</v>
      </c>
      <c r="AL9" s="221">
        <f>AL11+AL14</f>
        <v>1354130000</v>
      </c>
      <c r="AM9" s="221">
        <f>AM11+AM14</f>
        <v>0</v>
      </c>
      <c r="AO9" s="226" t="e">
        <f>AA7-AM7</f>
        <v>#REF!</v>
      </c>
    </row>
    <row r="10" spans="1:41" s="225" customFormat="1" ht="19.5" customHeight="1">
      <c r="A10" s="216" t="s">
        <v>1251</v>
      </c>
      <c r="B10" s="217" t="s">
        <v>1252</v>
      </c>
      <c r="C10" s="218"/>
      <c r="D10" s="218"/>
      <c r="E10" s="219"/>
      <c r="F10" s="220"/>
      <c r="G10" s="221"/>
      <c r="H10" s="221"/>
      <c r="I10" s="223">
        <f aca="true" t="shared" si="4" ref="I10:N10">SUM(I11,I14)</f>
        <v>10750</v>
      </c>
      <c r="J10" s="223">
        <f t="shared" si="4"/>
        <v>0</v>
      </c>
      <c r="K10" s="223">
        <f t="shared" si="4"/>
        <v>10750</v>
      </c>
      <c r="L10" s="223">
        <f t="shared" si="4"/>
        <v>0</v>
      </c>
      <c r="M10" s="223">
        <f t="shared" si="4"/>
        <v>0</v>
      </c>
      <c r="N10" s="222">
        <f t="shared" si="4"/>
        <v>9145.012999999999</v>
      </c>
      <c r="O10" s="222"/>
      <c r="P10" s="222">
        <f>SUM(P11,P14)</f>
        <v>9145.012999999999</v>
      </c>
      <c r="Q10" s="222">
        <f>SUM(Q11,Q14)</f>
        <v>9145.012999999999</v>
      </c>
      <c r="R10" s="222"/>
      <c r="S10" s="222"/>
      <c r="T10" s="222"/>
      <c r="U10" s="222"/>
      <c r="V10" s="223"/>
      <c r="W10" s="223"/>
      <c r="X10" s="223"/>
      <c r="Y10" s="223"/>
      <c r="Z10" s="223"/>
      <c r="AA10" s="223"/>
      <c r="AB10" s="223"/>
      <c r="AC10" s="223"/>
      <c r="AD10" s="223"/>
      <c r="AE10" s="223"/>
      <c r="AF10" s="223"/>
      <c r="AG10" s="223"/>
      <c r="AH10" s="223"/>
      <c r="AI10" s="223"/>
      <c r="AJ10" s="223"/>
      <c r="AK10" s="223"/>
      <c r="AL10" s="221"/>
      <c r="AM10" s="221"/>
      <c r="AO10" s="226"/>
    </row>
    <row r="11" spans="1:41" s="196" customFormat="1" ht="19.5" customHeight="1">
      <c r="A11" s="216" t="s">
        <v>1253</v>
      </c>
      <c r="B11" s="217" t="s">
        <v>1254</v>
      </c>
      <c r="C11" s="218"/>
      <c r="D11" s="218"/>
      <c r="E11" s="219"/>
      <c r="F11" s="220"/>
      <c r="G11" s="220">
        <f>SUM(G12:G13)</f>
        <v>15386</v>
      </c>
      <c r="H11" s="220">
        <f>SUM(H12:H13)</f>
        <v>12359</v>
      </c>
      <c r="I11" s="227">
        <f>SUM(I12:I13)</f>
        <v>1750</v>
      </c>
      <c r="J11" s="227"/>
      <c r="K11" s="227">
        <f>SUM(K12:K13)</f>
        <v>1750</v>
      </c>
      <c r="L11" s="227"/>
      <c r="M11" s="227"/>
      <c r="N11" s="227">
        <f>SUM(N12:N13)</f>
        <v>1750</v>
      </c>
      <c r="O11" s="227"/>
      <c r="P11" s="227">
        <f>SUM(P12:P13)</f>
        <v>1750</v>
      </c>
      <c r="Q11" s="227">
        <f>SUM(Q12:Q13)</f>
        <v>1750</v>
      </c>
      <c r="R11" s="227"/>
      <c r="S11" s="227"/>
      <c r="T11" s="227"/>
      <c r="U11" s="220"/>
      <c r="V11" s="223">
        <f aca="true" t="shared" si="5" ref="V11:AL11">SUM(V12:V13)</f>
        <v>0</v>
      </c>
      <c r="W11" s="223">
        <f t="shared" si="5"/>
        <v>0</v>
      </c>
      <c r="X11" s="228">
        <f t="shared" si="5"/>
        <v>0</v>
      </c>
      <c r="Y11" s="228">
        <f t="shared" si="5"/>
        <v>1750000000</v>
      </c>
      <c r="Z11" s="228">
        <f t="shared" si="5"/>
        <v>0</v>
      </c>
      <c r="AA11" s="228">
        <f t="shared" si="5"/>
        <v>0</v>
      </c>
      <c r="AB11" s="228">
        <f t="shared" si="5"/>
        <v>1750000000</v>
      </c>
      <c r="AC11" s="228">
        <f t="shared" si="5"/>
        <v>1750000000</v>
      </c>
      <c r="AD11" s="228">
        <f t="shared" si="5"/>
        <v>1750000000</v>
      </c>
      <c r="AE11" s="228">
        <f t="shared" si="5"/>
        <v>0</v>
      </c>
      <c r="AF11" s="228">
        <f t="shared" si="5"/>
        <v>0</v>
      </c>
      <c r="AG11" s="228">
        <f t="shared" si="5"/>
        <v>0</v>
      </c>
      <c r="AH11" s="228">
        <f t="shared" si="5"/>
        <v>0</v>
      </c>
      <c r="AI11" s="228">
        <f t="shared" si="5"/>
        <v>0</v>
      </c>
      <c r="AJ11" s="228">
        <f t="shared" si="5"/>
        <v>0</v>
      </c>
      <c r="AK11" s="228">
        <f t="shared" si="5"/>
        <v>0</v>
      </c>
      <c r="AL11" s="220">
        <f t="shared" si="5"/>
        <v>0</v>
      </c>
      <c r="AM11" s="220">
        <f>SUM(AM12:AM13)</f>
        <v>0</v>
      </c>
      <c r="AO11" s="229" t="e">
        <f>AA7-3585290000</f>
        <v>#REF!</v>
      </c>
    </row>
    <row r="12" spans="1:41" s="245" customFormat="1" ht="19.5" customHeight="1">
      <c r="A12" s="230"/>
      <c r="B12" s="231" t="s">
        <v>1255</v>
      </c>
      <c r="C12" s="232" t="s">
        <v>1256</v>
      </c>
      <c r="D12" s="233">
        <v>2011</v>
      </c>
      <c r="E12" s="234"/>
      <c r="F12" s="235">
        <v>8000</v>
      </c>
      <c r="G12" s="236">
        <v>7840</v>
      </c>
      <c r="H12" s="236">
        <f>3280+2880</f>
        <v>6160</v>
      </c>
      <c r="I12" s="237">
        <f>K12+M12</f>
        <v>1000</v>
      </c>
      <c r="J12" s="238"/>
      <c r="K12" s="237">
        <v>1000</v>
      </c>
      <c r="L12" s="237"/>
      <c r="M12" s="237"/>
      <c r="N12" s="239">
        <f>Q12+R12+S12</f>
        <v>1000</v>
      </c>
      <c r="O12" s="239"/>
      <c r="P12" s="239">
        <f>SUM(Q12:S12)</f>
        <v>1000</v>
      </c>
      <c r="Q12" s="239">
        <v>1000</v>
      </c>
      <c r="R12" s="239"/>
      <c r="S12" s="239"/>
      <c r="T12" s="238"/>
      <c r="U12" s="236"/>
      <c r="V12" s="240">
        <f>W12+X12</f>
        <v>0</v>
      </c>
      <c r="W12" s="240"/>
      <c r="X12" s="240"/>
      <c r="Y12" s="240">
        <v>1000000000</v>
      </c>
      <c r="Z12" s="241"/>
      <c r="AA12" s="241"/>
      <c r="AB12" s="241">
        <f>Y12+Z12-AA12+X12</f>
        <v>1000000000</v>
      </c>
      <c r="AC12" s="242">
        <f>AD12+AE12+AF12</f>
        <v>1000000000</v>
      </c>
      <c r="AD12" s="242">
        <v>1000000000</v>
      </c>
      <c r="AE12" s="241"/>
      <c r="AF12" s="241"/>
      <c r="AG12" s="240"/>
      <c r="AH12" s="240">
        <f>AI12+AL12</f>
        <v>0</v>
      </c>
      <c r="AI12" s="240">
        <f>SUM(AJ12:AK12)</f>
        <v>0</v>
      </c>
      <c r="AJ12" s="240">
        <f>W12-AF12-AG12</f>
        <v>0</v>
      </c>
      <c r="AK12" s="243"/>
      <c r="AL12" s="244"/>
      <c r="AM12" s="236">
        <f>AB12-AD12-AE12-AK12-AL12</f>
        <v>0</v>
      </c>
      <c r="AO12" s="246">
        <f>13962910000-4000000000</f>
        <v>9962910000</v>
      </c>
    </row>
    <row r="13" spans="1:41" s="245" customFormat="1" ht="19.5" customHeight="1">
      <c r="A13" s="230"/>
      <c r="B13" s="231" t="s">
        <v>1257</v>
      </c>
      <c r="C13" s="232" t="s">
        <v>1256</v>
      </c>
      <c r="D13" s="233">
        <v>2011</v>
      </c>
      <c r="E13" s="234"/>
      <c r="F13" s="235">
        <v>7700</v>
      </c>
      <c r="G13" s="236">
        <v>7546</v>
      </c>
      <c r="H13" s="236">
        <f>3401+2798</f>
        <v>6199</v>
      </c>
      <c r="I13" s="237">
        <f>K13+M13</f>
        <v>750</v>
      </c>
      <c r="J13" s="238"/>
      <c r="K13" s="237">
        <v>750</v>
      </c>
      <c r="L13" s="237"/>
      <c r="M13" s="237"/>
      <c r="N13" s="239">
        <f>Q13+R13+S13</f>
        <v>750</v>
      </c>
      <c r="O13" s="239"/>
      <c r="P13" s="239">
        <f>SUM(Q13:S13)</f>
        <v>750</v>
      </c>
      <c r="Q13" s="239">
        <v>750</v>
      </c>
      <c r="R13" s="239"/>
      <c r="S13" s="239"/>
      <c r="T13" s="238"/>
      <c r="U13" s="236"/>
      <c r="V13" s="240">
        <f>W13+X13</f>
        <v>0</v>
      </c>
      <c r="W13" s="240"/>
      <c r="X13" s="240"/>
      <c r="Y13" s="240">
        <v>750000000</v>
      </c>
      <c r="Z13" s="241"/>
      <c r="AA13" s="241"/>
      <c r="AB13" s="241">
        <f>Y13+Z13-AA13+X13</f>
        <v>750000000</v>
      </c>
      <c r="AC13" s="242">
        <f>AD13+AE13+AF13</f>
        <v>750000000</v>
      </c>
      <c r="AD13" s="242">
        <v>750000000</v>
      </c>
      <c r="AE13" s="241"/>
      <c r="AF13" s="241"/>
      <c r="AG13" s="240"/>
      <c r="AH13" s="240">
        <f>AI13+AL13</f>
        <v>0</v>
      </c>
      <c r="AI13" s="240">
        <f>SUM(AJ13:AK13)</f>
        <v>0</v>
      </c>
      <c r="AJ13" s="240">
        <f>W13-AF13-AG13</f>
        <v>0</v>
      </c>
      <c r="AK13" s="243"/>
      <c r="AL13" s="244"/>
      <c r="AM13" s="236">
        <f>AB13-AD13-AE13-AK13-AL13</f>
        <v>0</v>
      </c>
      <c r="AO13" s="247" t="e">
        <f>AO12-AL7</f>
        <v>#REF!</v>
      </c>
    </row>
    <row r="14" spans="1:39" s="225" customFormat="1" ht="19.5" customHeight="1">
      <c r="A14" s="216" t="s">
        <v>1253</v>
      </c>
      <c r="B14" s="217" t="s">
        <v>1258</v>
      </c>
      <c r="C14" s="218"/>
      <c r="D14" s="218"/>
      <c r="E14" s="219"/>
      <c r="F14" s="220"/>
      <c r="G14" s="221"/>
      <c r="H14" s="221"/>
      <c r="I14" s="222">
        <f>SUM(I15:I31)</f>
        <v>9000</v>
      </c>
      <c r="J14" s="222"/>
      <c r="K14" s="222">
        <f aca="true" t="shared" si="6" ref="K14:Q14">SUM(K15:K31)</f>
        <v>9000</v>
      </c>
      <c r="L14" s="222"/>
      <c r="M14" s="222"/>
      <c r="N14" s="222">
        <f t="shared" si="6"/>
        <v>7395.013</v>
      </c>
      <c r="O14" s="222"/>
      <c r="P14" s="222">
        <f>SUM(P15:P31)</f>
        <v>7395.013</v>
      </c>
      <c r="Q14" s="222">
        <f t="shared" si="6"/>
        <v>7395.013</v>
      </c>
      <c r="R14" s="222"/>
      <c r="S14" s="222"/>
      <c r="T14" s="222"/>
      <c r="U14" s="221"/>
      <c r="V14" s="223">
        <f aca="true" t="shared" si="7" ref="V14:AF14">SUM(V15:V31)</f>
        <v>0</v>
      </c>
      <c r="W14" s="223">
        <f t="shared" si="7"/>
        <v>0</v>
      </c>
      <c r="X14" s="223">
        <f t="shared" si="7"/>
        <v>0</v>
      </c>
      <c r="Y14" s="223">
        <f t="shared" si="7"/>
        <v>9000000000</v>
      </c>
      <c r="Z14" s="223">
        <f>SUM(Z15:Z31)</f>
        <v>648190000</v>
      </c>
      <c r="AA14" s="223">
        <f>SUM(AA15:AA31)</f>
        <v>899047000</v>
      </c>
      <c r="AB14" s="223">
        <f>SUM(AB15:AB31)</f>
        <v>8749143000</v>
      </c>
      <c r="AC14" s="223">
        <f t="shared" si="7"/>
        <v>7395013000</v>
      </c>
      <c r="AD14" s="223">
        <f t="shared" si="7"/>
        <v>7395013000</v>
      </c>
      <c r="AE14" s="223">
        <f t="shared" si="7"/>
        <v>0</v>
      </c>
      <c r="AF14" s="223">
        <f t="shared" si="7"/>
        <v>0</v>
      </c>
      <c r="AG14" s="223"/>
      <c r="AH14" s="223">
        <f aca="true" t="shared" si="8" ref="AH14:AM14">SUM(AH15:AH31)</f>
        <v>1354130000</v>
      </c>
      <c r="AI14" s="223">
        <f t="shared" si="8"/>
        <v>0</v>
      </c>
      <c r="AJ14" s="223">
        <f t="shared" si="8"/>
        <v>0</v>
      </c>
      <c r="AK14" s="223">
        <f t="shared" si="8"/>
        <v>0</v>
      </c>
      <c r="AL14" s="221">
        <f t="shared" si="8"/>
        <v>1354130000</v>
      </c>
      <c r="AM14" s="221">
        <f t="shared" si="8"/>
        <v>0</v>
      </c>
    </row>
    <row r="15" spans="1:39" s="245" customFormat="1" ht="19.5" customHeight="1">
      <c r="A15" s="230"/>
      <c r="B15" s="231" t="s">
        <v>1259</v>
      </c>
      <c r="C15" s="232" t="s">
        <v>1260</v>
      </c>
      <c r="D15" s="232"/>
      <c r="E15" s="234"/>
      <c r="F15" s="235">
        <v>3500</v>
      </c>
      <c r="G15" s="236"/>
      <c r="H15" s="236">
        <v>2500</v>
      </c>
      <c r="I15" s="237">
        <f aca="true" t="shared" si="9" ref="I15:I31">K15+M15</f>
        <v>1000</v>
      </c>
      <c r="J15" s="238"/>
      <c r="K15" s="237">
        <v>1000</v>
      </c>
      <c r="L15" s="237"/>
      <c r="M15" s="237"/>
      <c r="N15" s="239">
        <f aca="true" t="shared" si="10" ref="N15:N31">Q15+R15+S15</f>
        <v>887.188</v>
      </c>
      <c r="O15" s="248"/>
      <c r="P15" s="248">
        <f>SUM(Q15:S15)</f>
        <v>887.188</v>
      </c>
      <c r="Q15" s="239">
        <v>887.188</v>
      </c>
      <c r="R15" s="239"/>
      <c r="S15" s="239"/>
      <c r="T15" s="238"/>
      <c r="U15" s="236"/>
      <c r="V15" s="240">
        <f aca="true" t="shared" si="11" ref="V15:V31">W15+X15</f>
        <v>0</v>
      </c>
      <c r="W15" s="240"/>
      <c r="X15" s="240"/>
      <c r="Y15" s="240">
        <v>1000000000</v>
      </c>
      <c r="Z15" s="241"/>
      <c r="AA15" s="241"/>
      <c r="AB15" s="241">
        <f aca="true" t="shared" si="12" ref="AB15:AB31">Y15+Z15-AA15+X15</f>
        <v>1000000000</v>
      </c>
      <c r="AC15" s="242">
        <f aca="true" t="shared" si="13" ref="AC15:AC30">AD15+AE15+AF15</f>
        <v>887188000</v>
      </c>
      <c r="AD15" s="249">
        <v>887188000</v>
      </c>
      <c r="AE15" s="241"/>
      <c r="AF15" s="241"/>
      <c r="AG15" s="240"/>
      <c r="AH15" s="240">
        <f aca="true" t="shared" si="14" ref="AH15:AH31">AI15+AL15</f>
        <v>112812000</v>
      </c>
      <c r="AI15" s="240">
        <f aca="true" t="shared" si="15" ref="AI15:AI31">SUM(AJ15:AK15)</f>
        <v>0</v>
      </c>
      <c r="AJ15" s="240">
        <f aca="true" t="shared" si="16" ref="AJ15:AJ31">W15-AF15-AG15</f>
        <v>0</v>
      </c>
      <c r="AK15" s="243"/>
      <c r="AL15" s="244">
        <v>112812000</v>
      </c>
      <c r="AM15" s="236">
        <f aca="true" t="shared" si="17" ref="AM15:AM31">AB15-AD15-AE15-AK15-AL15</f>
        <v>0</v>
      </c>
    </row>
    <row r="16" spans="1:39" s="245" customFormat="1" ht="19.5" customHeight="1">
      <c r="A16" s="230"/>
      <c r="B16" s="231" t="s">
        <v>1261</v>
      </c>
      <c r="C16" s="232" t="s">
        <v>1260</v>
      </c>
      <c r="D16" s="232"/>
      <c r="E16" s="234"/>
      <c r="F16" s="235">
        <v>4000</v>
      </c>
      <c r="G16" s="236"/>
      <c r="H16" s="236">
        <v>2500</v>
      </c>
      <c r="I16" s="237">
        <f t="shared" si="9"/>
        <v>1500</v>
      </c>
      <c r="J16" s="238"/>
      <c r="K16" s="237">
        <v>1500</v>
      </c>
      <c r="L16" s="237"/>
      <c r="M16" s="237"/>
      <c r="N16" s="239">
        <f t="shared" si="10"/>
        <v>1332.854</v>
      </c>
      <c r="O16" s="248"/>
      <c r="P16" s="248">
        <f aca="true" t="shared" si="18" ref="P16:P31">SUM(Q16:S16)</f>
        <v>1332.854</v>
      </c>
      <c r="Q16" s="239">
        <v>1332.854</v>
      </c>
      <c r="R16" s="239"/>
      <c r="S16" s="239"/>
      <c r="T16" s="238"/>
      <c r="U16" s="236"/>
      <c r="V16" s="240">
        <f t="shared" si="11"/>
        <v>0</v>
      </c>
      <c r="W16" s="240"/>
      <c r="X16" s="240"/>
      <c r="Y16" s="240">
        <v>1500000000</v>
      </c>
      <c r="Z16" s="241"/>
      <c r="AA16" s="241"/>
      <c r="AB16" s="241">
        <f t="shared" si="12"/>
        <v>1500000000</v>
      </c>
      <c r="AC16" s="242">
        <f t="shared" si="13"/>
        <v>1332854000</v>
      </c>
      <c r="AD16" s="249">
        <v>1332854000</v>
      </c>
      <c r="AE16" s="241"/>
      <c r="AF16" s="241"/>
      <c r="AG16" s="240"/>
      <c r="AH16" s="240">
        <f t="shared" si="14"/>
        <v>167146000</v>
      </c>
      <c r="AI16" s="240">
        <f t="shared" si="15"/>
        <v>0</v>
      </c>
      <c r="AJ16" s="240">
        <f t="shared" si="16"/>
        <v>0</v>
      </c>
      <c r="AK16" s="243"/>
      <c r="AL16" s="244">
        <v>167146000</v>
      </c>
      <c r="AM16" s="236">
        <f t="shared" si="17"/>
        <v>0</v>
      </c>
    </row>
    <row r="17" spans="1:39" s="245" customFormat="1" ht="19.5" customHeight="1">
      <c r="A17" s="230"/>
      <c r="B17" s="231" t="s">
        <v>1262</v>
      </c>
      <c r="C17" s="232" t="s">
        <v>1263</v>
      </c>
      <c r="D17" s="232"/>
      <c r="E17" s="234"/>
      <c r="F17" s="235">
        <v>3500</v>
      </c>
      <c r="G17" s="236"/>
      <c r="H17" s="236">
        <v>2500</v>
      </c>
      <c r="I17" s="237">
        <f t="shared" si="9"/>
        <v>500</v>
      </c>
      <c r="J17" s="238"/>
      <c r="K17" s="237">
        <v>500</v>
      </c>
      <c r="L17" s="237"/>
      <c r="M17" s="237"/>
      <c r="N17" s="239">
        <f t="shared" si="10"/>
        <v>500</v>
      </c>
      <c r="O17" s="239"/>
      <c r="P17" s="248">
        <f t="shared" si="18"/>
        <v>500</v>
      </c>
      <c r="Q17" s="239">
        <v>500</v>
      </c>
      <c r="R17" s="239"/>
      <c r="S17" s="239"/>
      <c r="T17" s="238"/>
      <c r="U17" s="236"/>
      <c r="V17" s="240">
        <f t="shared" si="11"/>
        <v>0</v>
      </c>
      <c r="W17" s="240"/>
      <c r="X17" s="240"/>
      <c r="Y17" s="240">
        <v>500000000</v>
      </c>
      <c r="Z17" s="241">
        <v>448190000</v>
      </c>
      <c r="AA17" s="241"/>
      <c r="AB17" s="241">
        <f t="shared" si="12"/>
        <v>948190000</v>
      </c>
      <c r="AC17" s="242">
        <f t="shared" si="13"/>
        <v>500000000</v>
      </c>
      <c r="AD17" s="242">
        <v>500000000</v>
      </c>
      <c r="AE17" s="241"/>
      <c r="AF17" s="241"/>
      <c r="AG17" s="240"/>
      <c r="AH17" s="240">
        <f t="shared" si="14"/>
        <v>448190000</v>
      </c>
      <c r="AI17" s="240">
        <f t="shared" si="15"/>
        <v>0</v>
      </c>
      <c r="AJ17" s="240">
        <f t="shared" si="16"/>
        <v>0</v>
      </c>
      <c r="AK17" s="243"/>
      <c r="AL17" s="244">
        <v>448190000</v>
      </c>
      <c r="AM17" s="236">
        <f t="shared" si="17"/>
        <v>0</v>
      </c>
    </row>
    <row r="18" spans="1:39" s="245" customFormat="1" ht="19.5" customHeight="1">
      <c r="A18" s="230"/>
      <c r="B18" s="231" t="s">
        <v>1264</v>
      </c>
      <c r="C18" s="232" t="s">
        <v>1263</v>
      </c>
      <c r="D18" s="232"/>
      <c r="E18" s="234"/>
      <c r="F18" s="235">
        <v>3000</v>
      </c>
      <c r="G18" s="236"/>
      <c r="H18" s="236">
        <v>2500</v>
      </c>
      <c r="I18" s="237">
        <f t="shared" si="9"/>
        <v>500</v>
      </c>
      <c r="J18" s="238"/>
      <c r="K18" s="237">
        <v>500</v>
      </c>
      <c r="L18" s="237"/>
      <c r="M18" s="237"/>
      <c r="N18" s="239">
        <f t="shared" si="10"/>
        <v>500</v>
      </c>
      <c r="O18" s="239"/>
      <c r="P18" s="248">
        <f t="shared" si="18"/>
        <v>500</v>
      </c>
      <c r="Q18" s="239">
        <v>500</v>
      </c>
      <c r="R18" s="239"/>
      <c r="S18" s="239"/>
      <c r="T18" s="238"/>
      <c r="U18" s="236"/>
      <c r="V18" s="240">
        <f t="shared" si="11"/>
        <v>0</v>
      </c>
      <c r="W18" s="240"/>
      <c r="X18" s="240"/>
      <c r="Y18" s="240">
        <v>500000000</v>
      </c>
      <c r="Z18" s="241"/>
      <c r="AA18" s="241"/>
      <c r="AB18" s="241">
        <f t="shared" si="12"/>
        <v>500000000</v>
      </c>
      <c r="AC18" s="242">
        <f t="shared" si="13"/>
        <v>500000000</v>
      </c>
      <c r="AD18" s="242">
        <v>500000000</v>
      </c>
      <c r="AE18" s="241"/>
      <c r="AF18" s="241"/>
      <c r="AG18" s="240"/>
      <c r="AH18" s="240">
        <f t="shared" si="14"/>
        <v>0</v>
      </c>
      <c r="AI18" s="240">
        <f t="shared" si="15"/>
        <v>0</v>
      </c>
      <c r="AJ18" s="240">
        <f t="shared" si="16"/>
        <v>0</v>
      </c>
      <c r="AK18" s="243"/>
      <c r="AL18" s="244"/>
      <c r="AM18" s="236">
        <f t="shared" si="17"/>
        <v>0</v>
      </c>
    </row>
    <row r="19" spans="1:39" s="245" customFormat="1" ht="19.5" customHeight="1">
      <c r="A19" s="230"/>
      <c r="B19" s="231" t="s">
        <v>1265</v>
      </c>
      <c r="C19" s="232" t="s">
        <v>1050</v>
      </c>
      <c r="D19" s="232"/>
      <c r="E19" s="234"/>
      <c r="F19" s="235">
        <v>3000</v>
      </c>
      <c r="G19" s="236"/>
      <c r="H19" s="236">
        <v>2500</v>
      </c>
      <c r="I19" s="237">
        <f t="shared" si="9"/>
        <v>500</v>
      </c>
      <c r="J19" s="238"/>
      <c r="K19" s="237">
        <v>500</v>
      </c>
      <c r="L19" s="237"/>
      <c r="M19" s="237"/>
      <c r="N19" s="239">
        <f t="shared" si="10"/>
        <v>306.418</v>
      </c>
      <c r="O19" s="239"/>
      <c r="P19" s="248">
        <f t="shared" si="18"/>
        <v>306.418</v>
      </c>
      <c r="Q19" s="239">
        <v>306.418</v>
      </c>
      <c r="R19" s="239"/>
      <c r="S19" s="239"/>
      <c r="T19" s="238"/>
      <c r="U19" s="236"/>
      <c r="V19" s="240">
        <f t="shared" si="11"/>
        <v>0</v>
      </c>
      <c r="W19" s="240"/>
      <c r="X19" s="240"/>
      <c r="Y19" s="240">
        <v>500000000</v>
      </c>
      <c r="Z19" s="241"/>
      <c r="AA19" s="241">
        <v>193582000</v>
      </c>
      <c r="AB19" s="241">
        <f t="shared" si="12"/>
        <v>306418000</v>
      </c>
      <c r="AC19" s="242">
        <f t="shared" si="13"/>
        <v>306418000</v>
      </c>
      <c r="AD19" s="242">
        <v>306418000</v>
      </c>
      <c r="AE19" s="241"/>
      <c r="AF19" s="241"/>
      <c r="AG19" s="240"/>
      <c r="AH19" s="240">
        <f t="shared" si="14"/>
        <v>0</v>
      </c>
      <c r="AI19" s="240">
        <f t="shared" si="15"/>
        <v>0</v>
      </c>
      <c r="AJ19" s="240">
        <f t="shared" si="16"/>
        <v>0</v>
      </c>
      <c r="AK19" s="243"/>
      <c r="AL19" s="244"/>
      <c r="AM19" s="236">
        <f t="shared" si="17"/>
        <v>0</v>
      </c>
    </row>
    <row r="20" spans="1:39" s="245" customFormat="1" ht="19.5" customHeight="1">
      <c r="A20" s="230"/>
      <c r="B20" s="231" t="s">
        <v>1266</v>
      </c>
      <c r="C20" s="232" t="s">
        <v>1267</v>
      </c>
      <c r="D20" s="232"/>
      <c r="E20" s="234"/>
      <c r="F20" s="235">
        <v>3000</v>
      </c>
      <c r="G20" s="236"/>
      <c r="H20" s="236">
        <v>2500</v>
      </c>
      <c r="I20" s="237">
        <f t="shared" si="9"/>
        <v>500</v>
      </c>
      <c r="J20" s="238"/>
      <c r="K20" s="237">
        <v>500</v>
      </c>
      <c r="L20" s="237"/>
      <c r="M20" s="237"/>
      <c r="N20" s="239">
        <f t="shared" si="10"/>
        <v>215.139</v>
      </c>
      <c r="O20" s="239"/>
      <c r="P20" s="248">
        <f t="shared" si="18"/>
        <v>215.139</v>
      </c>
      <c r="Q20" s="239">
        <v>215.139</v>
      </c>
      <c r="R20" s="239"/>
      <c r="S20" s="239"/>
      <c r="T20" s="238"/>
      <c r="U20" s="236"/>
      <c r="V20" s="240">
        <f t="shared" si="11"/>
        <v>0</v>
      </c>
      <c r="W20" s="240"/>
      <c r="X20" s="240"/>
      <c r="Y20" s="240">
        <v>500000000</v>
      </c>
      <c r="Z20" s="241"/>
      <c r="AA20" s="241"/>
      <c r="AB20" s="241">
        <f t="shared" si="12"/>
        <v>500000000</v>
      </c>
      <c r="AC20" s="242">
        <f t="shared" si="13"/>
        <v>215139000</v>
      </c>
      <c r="AD20" s="242">
        <v>215139000</v>
      </c>
      <c r="AE20" s="241"/>
      <c r="AF20" s="241"/>
      <c r="AG20" s="240"/>
      <c r="AH20" s="240">
        <f t="shared" si="14"/>
        <v>284861000</v>
      </c>
      <c r="AI20" s="240">
        <f t="shared" si="15"/>
        <v>0</v>
      </c>
      <c r="AJ20" s="240">
        <f t="shared" si="16"/>
        <v>0</v>
      </c>
      <c r="AK20" s="243"/>
      <c r="AL20" s="244">
        <v>284861000</v>
      </c>
      <c r="AM20" s="236">
        <f t="shared" si="17"/>
        <v>0</v>
      </c>
    </row>
    <row r="21" spans="1:39" s="245" customFormat="1" ht="19.5" customHeight="1">
      <c r="A21" s="230"/>
      <c r="B21" s="231" t="s">
        <v>1268</v>
      </c>
      <c r="C21" s="232" t="s">
        <v>1267</v>
      </c>
      <c r="D21" s="232"/>
      <c r="E21" s="234"/>
      <c r="F21" s="235">
        <v>3000</v>
      </c>
      <c r="G21" s="236"/>
      <c r="H21" s="236">
        <v>2500</v>
      </c>
      <c r="I21" s="237">
        <f t="shared" si="9"/>
        <v>500</v>
      </c>
      <c r="J21" s="238"/>
      <c r="K21" s="237">
        <v>500</v>
      </c>
      <c r="L21" s="237"/>
      <c r="M21" s="237"/>
      <c r="N21" s="239">
        <f t="shared" si="10"/>
        <v>360.961</v>
      </c>
      <c r="O21" s="239"/>
      <c r="P21" s="248">
        <f t="shared" si="18"/>
        <v>360.961</v>
      </c>
      <c r="Q21" s="239">
        <v>360.961</v>
      </c>
      <c r="R21" s="239"/>
      <c r="S21" s="239"/>
      <c r="T21" s="238"/>
      <c r="U21" s="236"/>
      <c r="V21" s="240">
        <f t="shared" si="11"/>
        <v>0</v>
      </c>
      <c r="W21" s="240"/>
      <c r="X21" s="240"/>
      <c r="Y21" s="240">
        <v>500000000</v>
      </c>
      <c r="Z21" s="241"/>
      <c r="AA21" s="241">
        <f>139039000</f>
        <v>139039000</v>
      </c>
      <c r="AB21" s="241">
        <f t="shared" si="12"/>
        <v>360961000</v>
      </c>
      <c r="AC21" s="242">
        <f t="shared" si="13"/>
        <v>360961000</v>
      </c>
      <c r="AD21" s="242">
        <v>360961000</v>
      </c>
      <c r="AE21" s="241"/>
      <c r="AF21" s="241"/>
      <c r="AG21" s="240"/>
      <c r="AH21" s="240">
        <f t="shared" si="14"/>
        <v>0</v>
      </c>
      <c r="AI21" s="240">
        <f t="shared" si="15"/>
        <v>0</v>
      </c>
      <c r="AJ21" s="240">
        <f t="shared" si="16"/>
        <v>0</v>
      </c>
      <c r="AK21" s="243"/>
      <c r="AL21" s="244"/>
      <c r="AM21" s="236">
        <f t="shared" si="17"/>
        <v>0</v>
      </c>
    </row>
    <row r="22" spans="1:39" s="245" customFormat="1" ht="19.5" customHeight="1">
      <c r="A22" s="230"/>
      <c r="B22" s="231" t="s">
        <v>1269</v>
      </c>
      <c r="C22" s="232" t="s">
        <v>1267</v>
      </c>
      <c r="D22" s="232"/>
      <c r="E22" s="234"/>
      <c r="F22" s="235">
        <v>3000</v>
      </c>
      <c r="G22" s="236"/>
      <c r="H22" s="236">
        <v>2500</v>
      </c>
      <c r="I22" s="237">
        <f t="shared" si="9"/>
        <v>500</v>
      </c>
      <c r="J22" s="238"/>
      <c r="K22" s="237">
        <v>500</v>
      </c>
      <c r="L22" s="237"/>
      <c r="M22" s="237"/>
      <c r="N22" s="239">
        <f t="shared" si="10"/>
        <v>433.574</v>
      </c>
      <c r="O22" s="239"/>
      <c r="P22" s="248">
        <f t="shared" si="18"/>
        <v>433.574</v>
      </c>
      <c r="Q22" s="239">
        <v>433.574</v>
      </c>
      <c r="R22" s="239"/>
      <c r="S22" s="239"/>
      <c r="T22" s="238"/>
      <c r="U22" s="236"/>
      <c r="V22" s="240">
        <f t="shared" si="11"/>
        <v>0</v>
      </c>
      <c r="W22" s="240"/>
      <c r="X22" s="240"/>
      <c r="Y22" s="240">
        <v>500000000</v>
      </c>
      <c r="Z22" s="241"/>
      <c r="AA22" s="241">
        <f>66426000</f>
        <v>66426000</v>
      </c>
      <c r="AB22" s="241">
        <f t="shared" si="12"/>
        <v>433574000</v>
      </c>
      <c r="AC22" s="242">
        <f t="shared" si="13"/>
        <v>433574000</v>
      </c>
      <c r="AD22" s="242">
        <v>433574000</v>
      </c>
      <c r="AE22" s="241"/>
      <c r="AF22" s="241"/>
      <c r="AG22" s="240"/>
      <c r="AH22" s="240">
        <f t="shared" si="14"/>
        <v>0</v>
      </c>
      <c r="AI22" s="240">
        <f t="shared" si="15"/>
        <v>0</v>
      </c>
      <c r="AJ22" s="240">
        <f t="shared" si="16"/>
        <v>0</v>
      </c>
      <c r="AK22" s="243"/>
      <c r="AL22" s="244"/>
      <c r="AM22" s="236">
        <f t="shared" si="17"/>
        <v>0</v>
      </c>
    </row>
    <row r="23" spans="1:39" s="245" customFormat="1" ht="19.5" customHeight="1">
      <c r="A23" s="230"/>
      <c r="B23" s="231" t="s">
        <v>1270</v>
      </c>
      <c r="C23" s="232" t="s">
        <v>1267</v>
      </c>
      <c r="D23" s="232"/>
      <c r="E23" s="234"/>
      <c r="F23" s="235">
        <v>3000</v>
      </c>
      <c r="G23" s="236"/>
      <c r="H23" s="236">
        <v>2500</v>
      </c>
      <c r="I23" s="237">
        <f t="shared" si="9"/>
        <v>500</v>
      </c>
      <c r="J23" s="238"/>
      <c r="K23" s="237">
        <v>500</v>
      </c>
      <c r="L23" s="237"/>
      <c r="M23" s="237"/>
      <c r="N23" s="239">
        <f t="shared" si="10"/>
        <v>500</v>
      </c>
      <c r="O23" s="239"/>
      <c r="P23" s="248">
        <f t="shared" si="18"/>
        <v>500</v>
      </c>
      <c r="Q23" s="239">
        <v>500</v>
      </c>
      <c r="R23" s="239"/>
      <c r="S23" s="239"/>
      <c r="T23" s="238"/>
      <c r="U23" s="236"/>
      <c r="V23" s="240">
        <f t="shared" si="11"/>
        <v>0</v>
      </c>
      <c r="W23" s="240"/>
      <c r="X23" s="240"/>
      <c r="Y23" s="240">
        <v>500000000</v>
      </c>
      <c r="Z23" s="241">
        <v>200000000</v>
      </c>
      <c r="AA23" s="241"/>
      <c r="AB23" s="241">
        <f t="shared" si="12"/>
        <v>700000000</v>
      </c>
      <c r="AC23" s="242">
        <f t="shared" si="13"/>
        <v>500000000</v>
      </c>
      <c r="AD23" s="242">
        <v>500000000</v>
      </c>
      <c r="AE23" s="241"/>
      <c r="AF23" s="241"/>
      <c r="AG23" s="240"/>
      <c r="AH23" s="240">
        <f t="shared" si="14"/>
        <v>200000000</v>
      </c>
      <c r="AI23" s="240">
        <f t="shared" si="15"/>
        <v>0</v>
      </c>
      <c r="AJ23" s="240">
        <f t="shared" si="16"/>
        <v>0</v>
      </c>
      <c r="AK23" s="243"/>
      <c r="AL23" s="244">
        <v>200000000</v>
      </c>
      <c r="AM23" s="236">
        <f t="shared" si="17"/>
        <v>0</v>
      </c>
    </row>
    <row r="24" spans="1:39" s="245" customFormat="1" ht="19.5" customHeight="1">
      <c r="A24" s="230"/>
      <c r="B24" s="231" t="s">
        <v>1271</v>
      </c>
      <c r="C24" s="232" t="s">
        <v>1267</v>
      </c>
      <c r="D24" s="232"/>
      <c r="E24" s="234"/>
      <c r="F24" s="235">
        <v>3000</v>
      </c>
      <c r="G24" s="236"/>
      <c r="H24" s="236">
        <v>2500</v>
      </c>
      <c r="I24" s="237">
        <f t="shared" si="9"/>
        <v>500</v>
      </c>
      <c r="J24" s="238"/>
      <c r="K24" s="237">
        <v>500</v>
      </c>
      <c r="L24" s="237"/>
      <c r="M24" s="237"/>
      <c r="N24" s="239"/>
      <c r="O24" s="239"/>
      <c r="P24" s="248"/>
      <c r="Q24" s="239"/>
      <c r="R24" s="239"/>
      <c r="S24" s="239"/>
      <c r="T24" s="238"/>
      <c r="U24" s="236"/>
      <c r="V24" s="240">
        <f t="shared" si="11"/>
        <v>0</v>
      </c>
      <c r="W24" s="240"/>
      <c r="X24" s="240"/>
      <c r="Y24" s="240">
        <v>500000000</v>
      </c>
      <c r="Z24" s="241"/>
      <c r="AA24" s="241">
        <v>500000000</v>
      </c>
      <c r="AB24" s="241">
        <f t="shared" si="12"/>
        <v>0</v>
      </c>
      <c r="AC24" s="242">
        <f t="shared" si="13"/>
        <v>0</v>
      </c>
      <c r="AD24" s="241"/>
      <c r="AE24" s="241"/>
      <c r="AF24" s="241"/>
      <c r="AG24" s="240"/>
      <c r="AH24" s="240">
        <f t="shared" si="14"/>
        <v>0</v>
      </c>
      <c r="AI24" s="240">
        <f t="shared" si="15"/>
        <v>0</v>
      </c>
      <c r="AJ24" s="240">
        <f t="shared" si="16"/>
        <v>0</v>
      </c>
      <c r="AK24" s="243"/>
      <c r="AL24" s="244"/>
      <c r="AM24" s="236">
        <f t="shared" si="17"/>
        <v>0</v>
      </c>
    </row>
    <row r="25" spans="1:39" s="245" customFormat="1" ht="19.5" customHeight="1">
      <c r="A25" s="230"/>
      <c r="B25" s="231" t="s">
        <v>1272</v>
      </c>
      <c r="C25" s="232" t="s">
        <v>1273</v>
      </c>
      <c r="D25" s="232"/>
      <c r="E25" s="234"/>
      <c r="F25" s="235">
        <v>3000</v>
      </c>
      <c r="G25" s="236"/>
      <c r="H25" s="236">
        <v>2500</v>
      </c>
      <c r="I25" s="237">
        <f t="shared" si="9"/>
        <v>509</v>
      </c>
      <c r="J25" s="238"/>
      <c r="K25" s="237">
        <v>509</v>
      </c>
      <c r="L25" s="237"/>
      <c r="M25" s="237"/>
      <c r="N25" s="239">
        <f t="shared" si="10"/>
        <v>499.166</v>
      </c>
      <c r="O25" s="239"/>
      <c r="P25" s="248">
        <f t="shared" si="18"/>
        <v>499.166</v>
      </c>
      <c r="Q25" s="239">
        <v>499.166</v>
      </c>
      <c r="R25" s="239"/>
      <c r="S25" s="239"/>
      <c r="T25" s="238"/>
      <c r="U25" s="236"/>
      <c r="V25" s="240">
        <f t="shared" si="11"/>
        <v>0</v>
      </c>
      <c r="W25" s="240"/>
      <c r="X25" s="240"/>
      <c r="Y25" s="240">
        <v>509000000</v>
      </c>
      <c r="Z25" s="241"/>
      <c r="AA25" s="241"/>
      <c r="AB25" s="241">
        <f t="shared" si="12"/>
        <v>509000000</v>
      </c>
      <c r="AC25" s="242">
        <f t="shared" si="13"/>
        <v>499166000</v>
      </c>
      <c r="AD25" s="242">
        <v>499166000</v>
      </c>
      <c r="AE25" s="241"/>
      <c r="AF25" s="241"/>
      <c r="AG25" s="240"/>
      <c r="AH25" s="240">
        <f t="shared" si="14"/>
        <v>9834000</v>
      </c>
      <c r="AI25" s="240">
        <f t="shared" si="15"/>
        <v>0</v>
      </c>
      <c r="AJ25" s="240">
        <f t="shared" si="16"/>
        <v>0</v>
      </c>
      <c r="AK25" s="243"/>
      <c r="AL25" s="244">
        <v>9834000</v>
      </c>
      <c r="AM25" s="236">
        <f t="shared" si="17"/>
        <v>0</v>
      </c>
    </row>
    <row r="26" spans="1:39" s="245" customFormat="1" ht="19.5" customHeight="1">
      <c r="A26" s="230"/>
      <c r="B26" s="231" t="s">
        <v>1274</v>
      </c>
      <c r="C26" s="232" t="s">
        <v>1267</v>
      </c>
      <c r="D26" s="232"/>
      <c r="E26" s="234"/>
      <c r="F26" s="235">
        <v>3500</v>
      </c>
      <c r="G26" s="236"/>
      <c r="H26" s="236">
        <v>2500</v>
      </c>
      <c r="I26" s="237">
        <f t="shared" si="9"/>
        <v>824</v>
      </c>
      <c r="J26" s="238"/>
      <c r="K26" s="237">
        <v>824</v>
      </c>
      <c r="L26" s="237"/>
      <c r="M26" s="237"/>
      <c r="N26" s="239">
        <f t="shared" si="10"/>
        <v>768.159</v>
      </c>
      <c r="O26" s="239"/>
      <c r="P26" s="248">
        <f t="shared" si="18"/>
        <v>768.159</v>
      </c>
      <c r="Q26" s="239">
        <v>768.159</v>
      </c>
      <c r="R26" s="239"/>
      <c r="S26" s="239"/>
      <c r="T26" s="238"/>
      <c r="U26" s="236"/>
      <c r="V26" s="240">
        <f t="shared" si="11"/>
        <v>0</v>
      </c>
      <c r="W26" s="240"/>
      <c r="X26" s="240"/>
      <c r="Y26" s="240">
        <v>824000000</v>
      </c>
      <c r="Z26" s="241"/>
      <c r="AA26" s="241"/>
      <c r="AB26" s="241">
        <f t="shared" si="12"/>
        <v>824000000</v>
      </c>
      <c r="AC26" s="242">
        <f t="shared" si="13"/>
        <v>768159000</v>
      </c>
      <c r="AD26" s="242">
        <v>768159000</v>
      </c>
      <c r="AE26" s="241"/>
      <c r="AF26" s="241"/>
      <c r="AG26" s="240"/>
      <c r="AH26" s="240">
        <f t="shared" si="14"/>
        <v>55841000</v>
      </c>
      <c r="AI26" s="240">
        <f t="shared" si="15"/>
        <v>0</v>
      </c>
      <c r="AJ26" s="240">
        <f t="shared" si="16"/>
        <v>0</v>
      </c>
      <c r="AK26" s="243"/>
      <c r="AL26" s="244">
        <v>55841000</v>
      </c>
      <c r="AM26" s="236">
        <f t="shared" si="17"/>
        <v>0</v>
      </c>
    </row>
    <row r="27" spans="1:39" s="245" customFormat="1" ht="19.5" customHeight="1">
      <c r="A27" s="230"/>
      <c r="B27" s="231" t="s">
        <v>1275</v>
      </c>
      <c r="C27" s="250" t="s">
        <v>1267</v>
      </c>
      <c r="D27" s="232"/>
      <c r="E27" s="234"/>
      <c r="F27" s="235">
        <v>3000</v>
      </c>
      <c r="G27" s="236"/>
      <c r="H27" s="236">
        <v>2500</v>
      </c>
      <c r="I27" s="237">
        <f t="shared" si="9"/>
        <v>167</v>
      </c>
      <c r="J27" s="238"/>
      <c r="K27" s="237">
        <v>167</v>
      </c>
      <c r="L27" s="237"/>
      <c r="M27" s="237"/>
      <c r="N27" s="239">
        <f t="shared" si="10"/>
        <v>103.615</v>
      </c>
      <c r="O27" s="239"/>
      <c r="P27" s="248">
        <f t="shared" si="18"/>
        <v>103.615</v>
      </c>
      <c r="Q27" s="239">
        <v>103.615</v>
      </c>
      <c r="R27" s="239"/>
      <c r="S27" s="239"/>
      <c r="T27" s="238"/>
      <c r="U27" s="236"/>
      <c r="V27" s="240">
        <f t="shared" si="11"/>
        <v>0</v>
      </c>
      <c r="W27" s="240"/>
      <c r="X27" s="240"/>
      <c r="Y27" s="240">
        <v>167000000</v>
      </c>
      <c r="Z27" s="241"/>
      <c r="AA27" s="241"/>
      <c r="AB27" s="241">
        <f t="shared" si="12"/>
        <v>167000000</v>
      </c>
      <c r="AC27" s="242">
        <f t="shared" si="13"/>
        <v>103615000</v>
      </c>
      <c r="AD27" s="242">
        <v>103615000</v>
      </c>
      <c r="AE27" s="241"/>
      <c r="AF27" s="241"/>
      <c r="AG27" s="240"/>
      <c r="AH27" s="240">
        <f t="shared" si="14"/>
        <v>63385000</v>
      </c>
      <c r="AI27" s="240">
        <f t="shared" si="15"/>
        <v>0</v>
      </c>
      <c r="AJ27" s="240">
        <f t="shared" si="16"/>
        <v>0</v>
      </c>
      <c r="AK27" s="243"/>
      <c r="AL27" s="244">
        <v>63385000</v>
      </c>
      <c r="AM27" s="236">
        <f t="shared" si="17"/>
        <v>0</v>
      </c>
    </row>
    <row r="28" spans="1:39" s="245" customFormat="1" ht="19.5" customHeight="1">
      <c r="A28" s="230"/>
      <c r="B28" s="231" t="s">
        <v>1276</v>
      </c>
      <c r="C28" s="250" t="s">
        <v>1267</v>
      </c>
      <c r="D28" s="232"/>
      <c r="E28" s="234"/>
      <c r="F28" s="235">
        <v>3000</v>
      </c>
      <c r="G28" s="236"/>
      <c r="H28" s="236">
        <v>2500</v>
      </c>
      <c r="I28" s="237">
        <f t="shared" si="9"/>
        <v>12</v>
      </c>
      <c r="J28" s="238"/>
      <c r="K28" s="237">
        <v>12</v>
      </c>
      <c r="L28" s="237"/>
      <c r="M28" s="237"/>
      <c r="N28" s="239">
        <f t="shared" si="10"/>
        <v>0</v>
      </c>
      <c r="O28" s="239"/>
      <c r="P28" s="248"/>
      <c r="Q28" s="239"/>
      <c r="R28" s="239"/>
      <c r="S28" s="239"/>
      <c r="T28" s="238"/>
      <c r="U28" s="236"/>
      <c r="V28" s="240">
        <f t="shared" si="11"/>
        <v>0</v>
      </c>
      <c r="W28" s="240"/>
      <c r="X28" s="240"/>
      <c r="Y28" s="240">
        <v>12000000</v>
      </c>
      <c r="Z28" s="241"/>
      <c r="AA28" s="241"/>
      <c r="AB28" s="241">
        <f t="shared" si="12"/>
        <v>12000000</v>
      </c>
      <c r="AC28" s="242">
        <f t="shared" si="13"/>
        <v>0</v>
      </c>
      <c r="AD28" s="241"/>
      <c r="AE28" s="241"/>
      <c r="AF28" s="241"/>
      <c r="AG28" s="240"/>
      <c r="AH28" s="240">
        <f t="shared" si="14"/>
        <v>12000000</v>
      </c>
      <c r="AI28" s="240">
        <f t="shared" si="15"/>
        <v>0</v>
      </c>
      <c r="AJ28" s="240">
        <f t="shared" si="16"/>
        <v>0</v>
      </c>
      <c r="AK28" s="243"/>
      <c r="AL28" s="244">
        <v>12000000</v>
      </c>
      <c r="AM28" s="236">
        <f t="shared" si="17"/>
        <v>0</v>
      </c>
    </row>
    <row r="29" spans="1:39" s="245" customFormat="1" ht="19.5" customHeight="1">
      <c r="A29" s="230"/>
      <c r="B29" s="231" t="s">
        <v>1277</v>
      </c>
      <c r="C29" s="250" t="s">
        <v>1267</v>
      </c>
      <c r="D29" s="232"/>
      <c r="E29" s="234"/>
      <c r="F29" s="235">
        <v>3500</v>
      </c>
      <c r="G29" s="236"/>
      <c r="H29" s="236">
        <v>2500</v>
      </c>
      <c r="I29" s="237">
        <f t="shared" si="9"/>
        <v>236</v>
      </c>
      <c r="J29" s="238"/>
      <c r="K29" s="237">
        <v>236</v>
      </c>
      <c r="L29" s="237"/>
      <c r="M29" s="237"/>
      <c r="N29" s="239">
        <f t="shared" si="10"/>
        <v>235.939</v>
      </c>
      <c r="O29" s="239"/>
      <c r="P29" s="248">
        <f t="shared" si="18"/>
        <v>235.939</v>
      </c>
      <c r="Q29" s="239">
        <v>235.939</v>
      </c>
      <c r="R29" s="239"/>
      <c r="S29" s="239"/>
      <c r="T29" s="238"/>
      <c r="U29" s="236"/>
      <c r="V29" s="240">
        <f t="shared" si="11"/>
        <v>0</v>
      </c>
      <c r="W29" s="240"/>
      <c r="X29" s="240"/>
      <c r="Y29" s="240">
        <v>236000000</v>
      </c>
      <c r="Z29" s="241"/>
      <c r="AA29" s="241"/>
      <c r="AB29" s="241">
        <f t="shared" si="12"/>
        <v>236000000</v>
      </c>
      <c r="AC29" s="242">
        <f t="shared" si="13"/>
        <v>235939000</v>
      </c>
      <c r="AD29" s="242">
        <v>235939000</v>
      </c>
      <c r="AE29" s="241"/>
      <c r="AF29" s="241"/>
      <c r="AG29" s="240"/>
      <c r="AH29" s="240">
        <f t="shared" si="14"/>
        <v>61000</v>
      </c>
      <c r="AI29" s="240">
        <f t="shared" si="15"/>
        <v>0</v>
      </c>
      <c r="AJ29" s="240">
        <f t="shared" si="16"/>
        <v>0</v>
      </c>
      <c r="AK29" s="243"/>
      <c r="AL29" s="244">
        <v>61000</v>
      </c>
      <c r="AM29" s="236">
        <f t="shared" si="17"/>
        <v>0</v>
      </c>
    </row>
    <row r="30" spans="1:40" s="262" customFormat="1" ht="19.5" customHeight="1">
      <c r="A30" s="230"/>
      <c r="B30" s="251" t="s">
        <v>1278</v>
      </c>
      <c r="C30" s="250" t="s">
        <v>1267</v>
      </c>
      <c r="D30" s="252"/>
      <c r="E30" s="253"/>
      <c r="F30" s="254"/>
      <c r="G30" s="255"/>
      <c r="H30" s="255"/>
      <c r="I30" s="237">
        <f t="shared" si="9"/>
        <v>489</v>
      </c>
      <c r="J30" s="256"/>
      <c r="K30" s="237">
        <v>489</v>
      </c>
      <c r="L30" s="237"/>
      <c r="M30" s="237"/>
      <c r="N30" s="239">
        <f t="shared" si="10"/>
        <v>489</v>
      </c>
      <c r="O30" s="239"/>
      <c r="P30" s="248">
        <f t="shared" si="18"/>
        <v>489</v>
      </c>
      <c r="Q30" s="239">
        <v>489</v>
      </c>
      <c r="R30" s="239"/>
      <c r="S30" s="239"/>
      <c r="T30" s="257"/>
      <c r="U30" s="254"/>
      <c r="V30" s="240">
        <f t="shared" si="11"/>
        <v>0</v>
      </c>
      <c r="W30" s="240"/>
      <c r="X30" s="240"/>
      <c r="Y30" s="240">
        <v>489000000</v>
      </c>
      <c r="Z30" s="258"/>
      <c r="AA30" s="258"/>
      <c r="AB30" s="241">
        <f t="shared" si="12"/>
        <v>489000000</v>
      </c>
      <c r="AC30" s="242">
        <f t="shared" si="13"/>
        <v>489000000</v>
      </c>
      <c r="AD30" s="259">
        <v>489000000</v>
      </c>
      <c r="AE30" s="258"/>
      <c r="AF30" s="258"/>
      <c r="AG30" s="240"/>
      <c r="AH30" s="240">
        <f t="shared" si="14"/>
        <v>0</v>
      </c>
      <c r="AI30" s="240">
        <f t="shared" si="15"/>
        <v>0</v>
      </c>
      <c r="AJ30" s="240">
        <f t="shared" si="16"/>
        <v>0</v>
      </c>
      <c r="AK30" s="260"/>
      <c r="AL30" s="244"/>
      <c r="AM30" s="236">
        <f t="shared" si="17"/>
        <v>0</v>
      </c>
      <c r="AN30" s="261"/>
    </row>
    <row r="31" spans="1:41" s="262" customFormat="1" ht="19.5" customHeight="1">
      <c r="A31" s="263"/>
      <c r="B31" s="251" t="s">
        <v>1279</v>
      </c>
      <c r="C31" s="264" t="s">
        <v>1267</v>
      </c>
      <c r="D31" s="265"/>
      <c r="E31" s="266"/>
      <c r="F31" s="267"/>
      <c r="G31" s="268"/>
      <c r="H31" s="268"/>
      <c r="I31" s="237">
        <f t="shared" si="9"/>
        <v>263</v>
      </c>
      <c r="J31" s="269"/>
      <c r="K31" s="237">
        <v>263</v>
      </c>
      <c r="L31" s="237"/>
      <c r="M31" s="237"/>
      <c r="N31" s="239">
        <f t="shared" si="10"/>
        <v>263</v>
      </c>
      <c r="O31" s="239"/>
      <c r="P31" s="248">
        <f t="shared" si="18"/>
        <v>263</v>
      </c>
      <c r="Q31" s="239">
        <v>263</v>
      </c>
      <c r="R31" s="239"/>
      <c r="S31" s="239"/>
      <c r="T31" s="270"/>
      <c r="U31" s="267"/>
      <c r="V31" s="240">
        <f t="shared" si="11"/>
        <v>0</v>
      </c>
      <c r="W31" s="240"/>
      <c r="X31" s="240"/>
      <c r="Y31" s="240">
        <v>263000000</v>
      </c>
      <c r="Z31" s="271"/>
      <c r="AA31" s="271"/>
      <c r="AB31" s="240">
        <f t="shared" si="12"/>
        <v>263000000</v>
      </c>
      <c r="AC31" s="242">
        <f>AD31+AE31+AF31</f>
        <v>263000000</v>
      </c>
      <c r="AD31" s="259">
        <v>263000000</v>
      </c>
      <c r="AE31" s="271"/>
      <c r="AF31" s="271"/>
      <c r="AG31" s="240"/>
      <c r="AH31" s="240">
        <f t="shared" si="14"/>
        <v>0</v>
      </c>
      <c r="AI31" s="240">
        <f t="shared" si="15"/>
        <v>0</v>
      </c>
      <c r="AJ31" s="240">
        <f t="shared" si="16"/>
        <v>0</v>
      </c>
      <c r="AK31" s="272"/>
      <c r="AL31" s="244"/>
      <c r="AM31" s="244">
        <f t="shared" si="17"/>
        <v>0</v>
      </c>
      <c r="AN31" s="273"/>
      <c r="AO31" s="274"/>
    </row>
    <row r="32" spans="1:41" s="262" customFormat="1" ht="19.5" customHeight="1">
      <c r="A32" s="275" t="s">
        <v>1280</v>
      </c>
      <c r="B32" s="276" t="s">
        <v>1281</v>
      </c>
      <c r="C32" s="277"/>
      <c r="D32" s="278"/>
      <c r="E32" s="279"/>
      <c r="F32" s="280"/>
      <c r="G32" s="281"/>
      <c r="H32" s="281"/>
      <c r="I32" s="282">
        <f>SUM(I33:I63)</f>
        <v>3203.004000000001</v>
      </c>
      <c r="J32" s="282">
        <f aca="true" t="shared" si="19" ref="J32:AO32">SUM(J33:J63)</f>
        <v>0</v>
      </c>
      <c r="K32" s="282">
        <f t="shared" si="19"/>
        <v>3203.004000000001</v>
      </c>
      <c r="L32" s="282">
        <f t="shared" si="19"/>
        <v>0</v>
      </c>
      <c r="M32" s="282">
        <f t="shared" si="19"/>
        <v>0</v>
      </c>
      <c r="N32" s="282">
        <f t="shared" si="19"/>
        <v>3203.004000000001</v>
      </c>
      <c r="O32" s="282">
        <f t="shared" si="19"/>
        <v>0</v>
      </c>
      <c r="P32" s="282">
        <f t="shared" si="19"/>
        <v>3203.004000000001</v>
      </c>
      <c r="Q32" s="282">
        <f t="shared" si="19"/>
        <v>0</v>
      </c>
      <c r="R32" s="282">
        <f t="shared" si="19"/>
        <v>0</v>
      </c>
      <c r="S32" s="237">
        <f t="shared" si="19"/>
        <v>0</v>
      </c>
      <c r="T32" s="237">
        <f t="shared" si="19"/>
        <v>0</v>
      </c>
      <c r="U32" s="237">
        <f t="shared" si="19"/>
        <v>0</v>
      </c>
      <c r="V32" s="237">
        <f t="shared" si="19"/>
        <v>0</v>
      </c>
      <c r="W32" s="237">
        <f t="shared" si="19"/>
        <v>0</v>
      </c>
      <c r="X32" s="237">
        <f t="shared" si="19"/>
        <v>0</v>
      </c>
      <c r="Y32" s="237">
        <f t="shared" si="19"/>
        <v>0</v>
      </c>
      <c r="Z32" s="237">
        <f t="shared" si="19"/>
        <v>0</v>
      </c>
      <c r="AA32" s="237">
        <f t="shared" si="19"/>
        <v>0</v>
      </c>
      <c r="AB32" s="237">
        <f t="shared" si="19"/>
        <v>0</v>
      </c>
      <c r="AC32" s="237">
        <f t="shared" si="19"/>
        <v>0</v>
      </c>
      <c r="AD32" s="237">
        <f t="shared" si="19"/>
        <v>0</v>
      </c>
      <c r="AE32" s="237">
        <f t="shared" si="19"/>
        <v>0</v>
      </c>
      <c r="AF32" s="237">
        <f t="shared" si="19"/>
        <v>0</v>
      </c>
      <c r="AG32" s="237">
        <f t="shared" si="19"/>
        <v>0</v>
      </c>
      <c r="AH32" s="237">
        <f t="shared" si="19"/>
        <v>0</v>
      </c>
      <c r="AI32" s="237">
        <f t="shared" si="19"/>
        <v>0</v>
      </c>
      <c r="AJ32" s="237">
        <f t="shared" si="19"/>
        <v>0</v>
      </c>
      <c r="AK32" s="237">
        <f t="shared" si="19"/>
        <v>0</v>
      </c>
      <c r="AL32" s="237">
        <f t="shared" si="19"/>
        <v>0</v>
      </c>
      <c r="AM32" s="237">
        <f t="shared" si="19"/>
        <v>0</v>
      </c>
      <c r="AN32" s="237">
        <f t="shared" si="19"/>
        <v>0</v>
      </c>
      <c r="AO32" s="237">
        <f t="shared" si="19"/>
        <v>0</v>
      </c>
    </row>
    <row r="33" spans="1:40" s="262" customFormat="1" ht="19.5" customHeight="1">
      <c r="A33" s="230"/>
      <c r="B33" s="251" t="s">
        <v>1282</v>
      </c>
      <c r="C33" s="250" t="s">
        <v>1283</v>
      </c>
      <c r="D33" s="252"/>
      <c r="E33" s="253"/>
      <c r="F33" s="254"/>
      <c r="G33" s="255"/>
      <c r="H33" s="255"/>
      <c r="I33" s="237">
        <v>4.8</v>
      </c>
      <c r="J33" s="256"/>
      <c r="K33" s="237">
        <v>4.8</v>
      </c>
      <c r="L33" s="237"/>
      <c r="M33" s="237"/>
      <c r="N33" s="283">
        <v>4.8</v>
      </c>
      <c r="O33" s="239"/>
      <c r="P33" s="248">
        <v>4.8</v>
      </c>
      <c r="Q33" s="239"/>
      <c r="R33" s="239"/>
      <c r="S33" s="239"/>
      <c r="T33" s="257"/>
      <c r="U33" s="254"/>
      <c r="V33" s="240"/>
      <c r="W33" s="240"/>
      <c r="X33" s="240"/>
      <c r="Y33" s="240"/>
      <c r="Z33" s="258"/>
      <c r="AA33" s="258"/>
      <c r="AB33" s="241"/>
      <c r="AC33" s="242"/>
      <c r="AD33" s="259"/>
      <c r="AE33" s="258"/>
      <c r="AF33" s="258"/>
      <c r="AG33" s="240"/>
      <c r="AH33" s="240"/>
      <c r="AI33" s="240"/>
      <c r="AJ33" s="240"/>
      <c r="AK33" s="260"/>
      <c r="AL33" s="244"/>
      <c r="AM33" s="236"/>
      <c r="AN33" s="261"/>
    </row>
    <row r="34" spans="1:40" s="262" customFormat="1" ht="19.5" customHeight="1">
      <c r="A34" s="230"/>
      <c r="B34" s="251" t="s">
        <v>1284</v>
      </c>
      <c r="C34" s="284" t="s">
        <v>1267</v>
      </c>
      <c r="D34" s="252"/>
      <c r="E34" s="253"/>
      <c r="F34" s="254"/>
      <c r="G34" s="255"/>
      <c r="H34" s="255"/>
      <c r="I34" s="237">
        <v>148.33</v>
      </c>
      <c r="J34" s="256"/>
      <c r="K34" s="237">
        <v>148.33</v>
      </c>
      <c r="L34" s="237"/>
      <c r="M34" s="237"/>
      <c r="N34" s="283">
        <v>148.33</v>
      </c>
      <c r="O34" s="239"/>
      <c r="P34" s="248">
        <v>148.33</v>
      </c>
      <c r="Q34" s="239"/>
      <c r="R34" s="239"/>
      <c r="S34" s="239"/>
      <c r="T34" s="257"/>
      <c r="U34" s="254"/>
      <c r="V34" s="240"/>
      <c r="W34" s="240"/>
      <c r="X34" s="240"/>
      <c r="Y34" s="240"/>
      <c r="Z34" s="258"/>
      <c r="AA34" s="258"/>
      <c r="AB34" s="241"/>
      <c r="AC34" s="242"/>
      <c r="AD34" s="259"/>
      <c r="AE34" s="258"/>
      <c r="AF34" s="258"/>
      <c r="AG34" s="240"/>
      <c r="AH34" s="240"/>
      <c r="AI34" s="240"/>
      <c r="AJ34" s="240"/>
      <c r="AK34" s="260"/>
      <c r="AL34" s="244"/>
      <c r="AM34" s="236"/>
      <c r="AN34" s="261"/>
    </row>
    <row r="35" spans="1:40" s="262" customFormat="1" ht="19.5" customHeight="1">
      <c r="A35" s="230"/>
      <c r="B35" s="251" t="s">
        <v>1285</v>
      </c>
      <c r="C35" s="250" t="s">
        <v>1267</v>
      </c>
      <c r="D35" s="252"/>
      <c r="E35" s="253"/>
      <c r="F35" s="254"/>
      <c r="G35" s="255"/>
      <c r="H35" s="255"/>
      <c r="I35" s="237">
        <v>4.96</v>
      </c>
      <c r="J35" s="256"/>
      <c r="K35" s="237">
        <v>4.96</v>
      </c>
      <c r="L35" s="237"/>
      <c r="M35" s="237"/>
      <c r="N35" s="283">
        <v>4.96</v>
      </c>
      <c r="O35" s="239"/>
      <c r="P35" s="248">
        <v>4.96</v>
      </c>
      <c r="Q35" s="239"/>
      <c r="R35" s="239"/>
      <c r="S35" s="239"/>
      <c r="T35" s="257"/>
      <c r="U35" s="254"/>
      <c r="V35" s="240"/>
      <c r="W35" s="240"/>
      <c r="X35" s="240"/>
      <c r="Y35" s="240"/>
      <c r="Z35" s="258"/>
      <c r="AA35" s="258"/>
      <c r="AB35" s="241"/>
      <c r="AC35" s="242"/>
      <c r="AD35" s="259"/>
      <c r="AE35" s="258"/>
      <c r="AF35" s="258"/>
      <c r="AG35" s="240"/>
      <c r="AH35" s="240"/>
      <c r="AI35" s="240"/>
      <c r="AJ35" s="240"/>
      <c r="AK35" s="260"/>
      <c r="AL35" s="244"/>
      <c r="AM35" s="236"/>
      <c r="AN35" s="261"/>
    </row>
    <row r="36" spans="1:40" s="262" customFormat="1" ht="19.5" customHeight="1">
      <c r="A36" s="230"/>
      <c r="B36" s="251" t="s">
        <v>1286</v>
      </c>
      <c r="C36" s="250" t="s">
        <v>1267</v>
      </c>
      <c r="D36" s="252"/>
      <c r="E36" s="253"/>
      <c r="F36" s="254"/>
      <c r="G36" s="255"/>
      <c r="H36" s="255"/>
      <c r="I36" s="237">
        <v>1.26</v>
      </c>
      <c r="J36" s="256"/>
      <c r="K36" s="237">
        <v>1.26</v>
      </c>
      <c r="L36" s="237"/>
      <c r="M36" s="237"/>
      <c r="N36" s="283">
        <v>1.26</v>
      </c>
      <c r="O36" s="239"/>
      <c r="P36" s="248">
        <v>1.26</v>
      </c>
      <c r="Q36" s="239"/>
      <c r="R36" s="239"/>
      <c r="S36" s="239"/>
      <c r="T36" s="257"/>
      <c r="U36" s="254"/>
      <c r="V36" s="240"/>
      <c r="W36" s="240"/>
      <c r="X36" s="240"/>
      <c r="Y36" s="240"/>
      <c r="Z36" s="258"/>
      <c r="AA36" s="258"/>
      <c r="AB36" s="241"/>
      <c r="AC36" s="242"/>
      <c r="AD36" s="259"/>
      <c r="AE36" s="258"/>
      <c r="AF36" s="258"/>
      <c r="AG36" s="240"/>
      <c r="AH36" s="240"/>
      <c r="AI36" s="240"/>
      <c r="AJ36" s="240"/>
      <c r="AK36" s="260"/>
      <c r="AL36" s="244"/>
      <c r="AM36" s="236"/>
      <c r="AN36" s="261"/>
    </row>
    <row r="37" spans="1:40" s="262" customFormat="1" ht="19.5" customHeight="1">
      <c r="A37" s="230"/>
      <c r="B37" s="251" t="s">
        <v>1287</v>
      </c>
      <c r="C37" s="250" t="s">
        <v>1267</v>
      </c>
      <c r="D37" s="252"/>
      <c r="E37" s="253"/>
      <c r="F37" s="254"/>
      <c r="G37" s="255"/>
      <c r="H37" s="255"/>
      <c r="I37" s="237">
        <v>5.76</v>
      </c>
      <c r="J37" s="256"/>
      <c r="K37" s="237">
        <v>5.76</v>
      </c>
      <c r="L37" s="237"/>
      <c r="M37" s="237"/>
      <c r="N37" s="239">
        <v>5.76</v>
      </c>
      <c r="O37" s="239"/>
      <c r="P37" s="248">
        <v>5.76</v>
      </c>
      <c r="Q37" s="239"/>
      <c r="R37" s="239"/>
      <c r="S37" s="239"/>
      <c r="T37" s="257"/>
      <c r="U37" s="254"/>
      <c r="V37" s="240"/>
      <c r="W37" s="240"/>
      <c r="X37" s="240"/>
      <c r="Y37" s="240"/>
      <c r="Z37" s="258"/>
      <c r="AA37" s="258"/>
      <c r="AB37" s="241"/>
      <c r="AC37" s="242"/>
      <c r="AD37" s="259"/>
      <c r="AE37" s="258"/>
      <c r="AF37" s="258"/>
      <c r="AG37" s="240"/>
      <c r="AH37" s="240"/>
      <c r="AI37" s="240"/>
      <c r="AJ37" s="240"/>
      <c r="AK37" s="260"/>
      <c r="AL37" s="244"/>
      <c r="AM37" s="236"/>
      <c r="AN37" s="261"/>
    </row>
    <row r="38" spans="1:40" s="262" customFormat="1" ht="19.5" customHeight="1">
      <c r="A38" s="230"/>
      <c r="B38" s="251" t="s">
        <v>1288</v>
      </c>
      <c r="C38" s="250" t="s">
        <v>1267</v>
      </c>
      <c r="D38" s="252"/>
      <c r="E38" s="253"/>
      <c r="F38" s="254"/>
      <c r="G38" s="255"/>
      <c r="H38" s="255"/>
      <c r="I38" s="237">
        <v>1160.75</v>
      </c>
      <c r="J38" s="256"/>
      <c r="K38" s="237">
        <v>1160.75</v>
      </c>
      <c r="L38" s="237"/>
      <c r="M38" s="237"/>
      <c r="N38" s="239">
        <v>1160.75</v>
      </c>
      <c r="O38" s="239"/>
      <c r="P38" s="248">
        <v>1160.75</v>
      </c>
      <c r="Q38" s="239"/>
      <c r="R38" s="239"/>
      <c r="S38" s="239"/>
      <c r="T38" s="257"/>
      <c r="U38" s="254"/>
      <c r="V38" s="240"/>
      <c r="W38" s="240"/>
      <c r="X38" s="240"/>
      <c r="Y38" s="240"/>
      <c r="Z38" s="258"/>
      <c r="AA38" s="258"/>
      <c r="AB38" s="241"/>
      <c r="AC38" s="242"/>
      <c r="AD38" s="259"/>
      <c r="AE38" s="258"/>
      <c r="AF38" s="258"/>
      <c r="AG38" s="240"/>
      <c r="AH38" s="240"/>
      <c r="AI38" s="240"/>
      <c r="AJ38" s="240"/>
      <c r="AK38" s="260"/>
      <c r="AL38" s="244"/>
      <c r="AM38" s="236"/>
      <c r="AN38" s="261"/>
    </row>
    <row r="39" spans="1:40" s="262" customFormat="1" ht="19.5" customHeight="1">
      <c r="A39" s="230"/>
      <c r="B39" s="251" t="s">
        <v>1289</v>
      </c>
      <c r="C39" s="250" t="s">
        <v>1267</v>
      </c>
      <c r="D39" s="252"/>
      <c r="E39" s="253"/>
      <c r="F39" s="254"/>
      <c r="G39" s="255"/>
      <c r="H39" s="255"/>
      <c r="I39" s="237">
        <v>80.13</v>
      </c>
      <c r="J39" s="256"/>
      <c r="K39" s="237">
        <v>80.13</v>
      </c>
      <c r="L39" s="237"/>
      <c r="M39" s="237"/>
      <c r="N39" s="239">
        <v>80.13</v>
      </c>
      <c r="O39" s="239"/>
      <c r="P39" s="248">
        <v>80.13</v>
      </c>
      <c r="Q39" s="239"/>
      <c r="R39" s="239"/>
      <c r="S39" s="239"/>
      <c r="T39" s="257"/>
      <c r="U39" s="254"/>
      <c r="V39" s="240"/>
      <c r="W39" s="240"/>
      <c r="X39" s="240"/>
      <c r="Y39" s="240"/>
      <c r="Z39" s="258"/>
      <c r="AA39" s="258"/>
      <c r="AB39" s="241"/>
      <c r="AC39" s="242"/>
      <c r="AD39" s="259"/>
      <c r="AE39" s="258"/>
      <c r="AF39" s="258"/>
      <c r="AG39" s="240"/>
      <c r="AH39" s="240"/>
      <c r="AI39" s="240"/>
      <c r="AJ39" s="240"/>
      <c r="AK39" s="260"/>
      <c r="AL39" s="244"/>
      <c r="AM39" s="236"/>
      <c r="AN39" s="261"/>
    </row>
    <row r="40" spans="1:40" s="262" customFormat="1" ht="19.5" customHeight="1">
      <c r="A40" s="230"/>
      <c r="B40" s="251" t="s">
        <v>1290</v>
      </c>
      <c r="C40" s="250" t="s">
        <v>1267</v>
      </c>
      <c r="D40" s="252"/>
      <c r="E40" s="253"/>
      <c r="F40" s="254"/>
      <c r="G40" s="255"/>
      <c r="H40" s="255"/>
      <c r="I40" s="237">
        <v>22.38</v>
      </c>
      <c r="J40" s="256"/>
      <c r="K40" s="237">
        <v>22.38</v>
      </c>
      <c r="L40" s="237"/>
      <c r="M40" s="237"/>
      <c r="N40" s="239">
        <v>22.38</v>
      </c>
      <c r="O40" s="239"/>
      <c r="P40" s="248">
        <v>22.38</v>
      </c>
      <c r="Q40" s="239"/>
      <c r="R40" s="239"/>
      <c r="S40" s="239"/>
      <c r="T40" s="257"/>
      <c r="U40" s="254"/>
      <c r="V40" s="240"/>
      <c r="W40" s="240"/>
      <c r="X40" s="240"/>
      <c r="Y40" s="240"/>
      <c r="Z40" s="258"/>
      <c r="AA40" s="258"/>
      <c r="AB40" s="241"/>
      <c r="AC40" s="242"/>
      <c r="AD40" s="259"/>
      <c r="AE40" s="258"/>
      <c r="AF40" s="258"/>
      <c r="AG40" s="240"/>
      <c r="AH40" s="240"/>
      <c r="AI40" s="240"/>
      <c r="AJ40" s="240"/>
      <c r="AK40" s="260"/>
      <c r="AL40" s="244"/>
      <c r="AM40" s="236"/>
      <c r="AN40" s="261"/>
    </row>
    <row r="41" spans="1:40" s="262" customFormat="1" ht="19.5" customHeight="1">
      <c r="A41" s="230"/>
      <c r="B41" s="251" t="s">
        <v>1291</v>
      </c>
      <c r="C41" s="250" t="s">
        <v>1267</v>
      </c>
      <c r="D41" s="252"/>
      <c r="E41" s="253"/>
      <c r="F41" s="254"/>
      <c r="G41" s="255"/>
      <c r="H41" s="255"/>
      <c r="I41" s="237">
        <v>15.374</v>
      </c>
      <c r="J41" s="256"/>
      <c r="K41" s="237">
        <v>15.374</v>
      </c>
      <c r="L41" s="237"/>
      <c r="M41" s="237"/>
      <c r="N41" s="239">
        <v>15.374</v>
      </c>
      <c r="O41" s="239"/>
      <c r="P41" s="248">
        <v>15.374</v>
      </c>
      <c r="Q41" s="239"/>
      <c r="R41" s="239"/>
      <c r="S41" s="239"/>
      <c r="T41" s="257"/>
      <c r="U41" s="254"/>
      <c r="V41" s="240"/>
      <c r="W41" s="240"/>
      <c r="X41" s="240"/>
      <c r="Y41" s="240"/>
      <c r="Z41" s="258"/>
      <c r="AA41" s="258"/>
      <c r="AB41" s="241"/>
      <c r="AC41" s="242"/>
      <c r="AD41" s="259"/>
      <c r="AE41" s="258"/>
      <c r="AF41" s="258"/>
      <c r="AG41" s="240"/>
      <c r="AH41" s="240"/>
      <c r="AI41" s="240"/>
      <c r="AJ41" s="240"/>
      <c r="AK41" s="260"/>
      <c r="AL41" s="244"/>
      <c r="AM41" s="236"/>
      <c r="AN41" s="261"/>
    </row>
    <row r="42" spans="1:40" s="262" customFormat="1" ht="19.5" customHeight="1">
      <c r="A42" s="230"/>
      <c r="B42" s="251" t="s">
        <v>1292</v>
      </c>
      <c r="C42" s="250" t="s">
        <v>1267</v>
      </c>
      <c r="D42" s="252"/>
      <c r="E42" s="253"/>
      <c r="F42" s="254"/>
      <c r="G42" s="255"/>
      <c r="H42" s="255"/>
      <c r="I42" s="237">
        <v>46.21</v>
      </c>
      <c r="J42" s="256"/>
      <c r="K42" s="237">
        <v>46.21</v>
      </c>
      <c r="L42" s="237"/>
      <c r="M42" s="237"/>
      <c r="N42" s="239">
        <v>46.21</v>
      </c>
      <c r="O42" s="239"/>
      <c r="P42" s="248">
        <v>46.21</v>
      </c>
      <c r="Q42" s="239"/>
      <c r="R42" s="239"/>
      <c r="S42" s="239"/>
      <c r="T42" s="257"/>
      <c r="U42" s="254"/>
      <c r="V42" s="240"/>
      <c r="W42" s="240"/>
      <c r="X42" s="240"/>
      <c r="Y42" s="240"/>
      <c r="Z42" s="258"/>
      <c r="AA42" s="258"/>
      <c r="AB42" s="241"/>
      <c r="AC42" s="242"/>
      <c r="AD42" s="259"/>
      <c r="AE42" s="258"/>
      <c r="AF42" s="258"/>
      <c r="AG42" s="240"/>
      <c r="AH42" s="240"/>
      <c r="AI42" s="240"/>
      <c r="AJ42" s="240"/>
      <c r="AK42" s="260"/>
      <c r="AL42" s="244"/>
      <c r="AM42" s="236"/>
      <c r="AN42" s="261"/>
    </row>
    <row r="43" spans="1:40" s="262" customFormat="1" ht="19.5" customHeight="1">
      <c r="A43" s="230"/>
      <c r="B43" s="251" t="s">
        <v>1293</v>
      </c>
      <c r="C43" s="250" t="s">
        <v>1267</v>
      </c>
      <c r="D43" s="252"/>
      <c r="E43" s="253"/>
      <c r="F43" s="254"/>
      <c r="G43" s="255"/>
      <c r="H43" s="255"/>
      <c r="I43" s="237">
        <v>43.42</v>
      </c>
      <c r="J43" s="256"/>
      <c r="K43" s="237">
        <v>43.42</v>
      </c>
      <c r="L43" s="237"/>
      <c r="M43" s="237"/>
      <c r="N43" s="239">
        <v>43.42</v>
      </c>
      <c r="O43" s="239"/>
      <c r="P43" s="248">
        <v>43.42</v>
      </c>
      <c r="Q43" s="239"/>
      <c r="R43" s="239"/>
      <c r="S43" s="239"/>
      <c r="T43" s="257"/>
      <c r="U43" s="254"/>
      <c r="V43" s="240"/>
      <c r="W43" s="240"/>
      <c r="X43" s="240"/>
      <c r="Y43" s="240"/>
      <c r="Z43" s="258"/>
      <c r="AA43" s="258"/>
      <c r="AB43" s="241"/>
      <c r="AC43" s="242"/>
      <c r="AD43" s="259"/>
      <c r="AE43" s="258"/>
      <c r="AF43" s="258"/>
      <c r="AG43" s="240"/>
      <c r="AH43" s="240"/>
      <c r="AI43" s="240"/>
      <c r="AJ43" s="240"/>
      <c r="AK43" s="260"/>
      <c r="AL43" s="244"/>
      <c r="AM43" s="236"/>
      <c r="AN43" s="261"/>
    </row>
    <row r="44" spans="1:40" s="262" customFormat="1" ht="19.5" customHeight="1">
      <c r="A44" s="230"/>
      <c r="B44" s="251" t="s">
        <v>1294</v>
      </c>
      <c r="C44" s="250" t="s">
        <v>1267</v>
      </c>
      <c r="D44" s="252"/>
      <c r="E44" s="253"/>
      <c r="F44" s="254"/>
      <c r="G44" s="255"/>
      <c r="H44" s="255"/>
      <c r="I44" s="237">
        <v>50.72</v>
      </c>
      <c r="J44" s="256"/>
      <c r="K44" s="237">
        <v>50.72</v>
      </c>
      <c r="L44" s="237"/>
      <c r="M44" s="237"/>
      <c r="N44" s="239">
        <v>50.72</v>
      </c>
      <c r="O44" s="239"/>
      <c r="P44" s="248">
        <v>50.72</v>
      </c>
      <c r="Q44" s="239"/>
      <c r="R44" s="239"/>
      <c r="S44" s="239"/>
      <c r="T44" s="257"/>
      <c r="U44" s="254"/>
      <c r="V44" s="240"/>
      <c r="W44" s="240"/>
      <c r="X44" s="240"/>
      <c r="Y44" s="240"/>
      <c r="Z44" s="258"/>
      <c r="AA44" s="258"/>
      <c r="AB44" s="241"/>
      <c r="AC44" s="242"/>
      <c r="AD44" s="259"/>
      <c r="AE44" s="258"/>
      <c r="AF44" s="258"/>
      <c r="AG44" s="240"/>
      <c r="AH44" s="240"/>
      <c r="AI44" s="240"/>
      <c r="AJ44" s="240"/>
      <c r="AK44" s="260"/>
      <c r="AL44" s="244"/>
      <c r="AM44" s="236"/>
      <c r="AN44" s="261"/>
    </row>
    <row r="45" spans="1:40" s="262" customFormat="1" ht="19.5" customHeight="1">
      <c r="A45" s="230"/>
      <c r="B45" s="251" t="s">
        <v>1295</v>
      </c>
      <c r="C45" s="250" t="s">
        <v>1267</v>
      </c>
      <c r="D45" s="252"/>
      <c r="E45" s="253"/>
      <c r="F45" s="254"/>
      <c r="G45" s="255"/>
      <c r="H45" s="255"/>
      <c r="I45" s="237">
        <v>24.69</v>
      </c>
      <c r="J45" s="256"/>
      <c r="K45" s="237">
        <v>24.69</v>
      </c>
      <c r="L45" s="237"/>
      <c r="M45" s="237"/>
      <c r="N45" s="239">
        <v>24.69</v>
      </c>
      <c r="O45" s="239"/>
      <c r="P45" s="248">
        <v>24.69</v>
      </c>
      <c r="Q45" s="239"/>
      <c r="R45" s="239"/>
      <c r="S45" s="239"/>
      <c r="T45" s="257"/>
      <c r="U45" s="254"/>
      <c r="V45" s="240"/>
      <c r="W45" s="240"/>
      <c r="X45" s="240"/>
      <c r="Y45" s="240"/>
      <c r="Z45" s="258"/>
      <c r="AA45" s="258"/>
      <c r="AB45" s="241"/>
      <c r="AC45" s="242"/>
      <c r="AD45" s="259"/>
      <c r="AE45" s="258"/>
      <c r="AF45" s="258"/>
      <c r="AG45" s="240"/>
      <c r="AH45" s="240"/>
      <c r="AI45" s="240"/>
      <c r="AJ45" s="240"/>
      <c r="AK45" s="260"/>
      <c r="AL45" s="244"/>
      <c r="AM45" s="236"/>
      <c r="AN45" s="261"/>
    </row>
    <row r="46" spans="1:40" s="262" customFormat="1" ht="19.5" customHeight="1">
      <c r="A46" s="230"/>
      <c r="B46" s="251" t="s">
        <v>1296</v>
      </c>
      <c r="C46" s="250" t="s">
        <v>1267</v>
      </c>
      <c r="D46" s="252"/>
      <c r="E46" s="253"/>
      <c r="F46" s="254"/>
      <c r="G46" s="255"/>
      <c r="H46" s="255"/>
      <c r="I46" s="237">
        <v>44.82</v>
      </c>
      <c r="J46" s="256"/>
      <c r="K46" s="237">
        <v>44.82</v>
      </c>
      <c r="L46" s="237"/>
      <c r="M46" s="237"/>
      <c r="N46" s="239">
        <v>44.82</v>
      </c>
      <c r="O46" s="239"/>
      <c r="P46" s="248">
        <v>44.82</v>
      </c>
      <c r="Q46" s="239"/>
      <c r="R46" s="239"/>
      <c r="S46" s="239"/>
      <c r="T46" s="257"/>
      <c r="U46" s="254"/>
      <c r="V46" s="240"/>
      <c r="W46" s="240"/>
      <c r="X46" s="240"/>
      <c r="Y46" s="240"/>
      <c r="Z46" s="258"/>
      <c r="AA46" s="258"/>
      <c r="AB46" s="241"/>
      <c r="AC46" s="242"/>
      <c r="AD46" s="259"/>
      <c r="AE46" s="258"/>
      <c r="AF46" s="258"/>
      <c r="AG46" s="240"/>
      <c r="AH46" s="240"/>
      <c r="AI46" s="240"/>
      <c r="AJ46" s="240"/>
      <c r="AK46" s="260"/>
      <c r="AL46" s="244"/>
      <c r="AM46" s="236"/>
      <c r="AN46" s="261"/>
    </row>
    <row r="47" spans="1:40" s="262" customFormat="1" ht="19.5" customHeight="1">
      <c r="A47" s="230"/>
      <c r="B47" s="251" t="s">
        <v>1297</v>
      </c>
      <c r="C47" s="250" t="s">
        <v>1267</v>
      </c>
      <c r="D47" s="252"/>
      <c r="E47" s="253"/>
      <c r="F47" s="254"/>
      <c r="G47" s="255"/>
      <c r="H47" s="255"/>
      <c r="I47" s="237">
        <v>116.48</v>
      </c>
      <c r="J47" s="256"/>
      <c r="K47" s="237">
        <v>116.48</v>
      </c>
      <c r="L47" s="237"/>
      <c r="M47" s="237"/>
      <c r="N47" s="239">
        <v>116.48</v>
      </c>
      <c r="O47" s="239"/>
      <c r="P47" s="248">
        <v>116.48</v>
      </c>
      <c r="Q47" s="239"/>
      <c r="R47" s="239"/>
      <c r="S47" s="239"/>
      <c r="T47" s="257"/>
      <c r="U47" s="254"/>
      <c r="V47" s="240"/>
      <c r="W47" s="240"/>
      <c r="X47" s="240"/>
      <c r="Y47" s="240"/>
      <c r="Z47" s="258"/>
      <c r="AA47" s="258"/>
      <c r="AB47" s="241"/>
      <c r="AC47" s="242"/>
      <c r="AD47" s="259"/>
      <c r="AE47" s="258"/>
      <c r="AF47" s="258"/>
      <c r="AG47" s="240"/>
      <c r="AH47" s="240"/>
      <c r="AI47" s="240"/>
      <c r="AJ47" s="240"/>
      <c r="AK47" s="260"/>
      <c r="AL47" s="244"/>
      <c r="AM47" s="236"/>
      <c r="AN47" s="261"/>
    </row>
    <row r="48" spans="1:40" s="262" customFormat="1" ht="19.5" customHeight="1">
      <c r="A48" s="230"/>
      <c r="B48" s="251" t="s">
        <v>1298</v>
      </c>
      <c r="C48" s="250" t="s">
        <v>1267</v>
      </c>
      <c r="D48" s="252"/>
      <c r="E48" s="253"/>
      <c r="F48" s="254"/>
      <c r="G48" s="255"/>
      <c r="H48" s="255"/>
      <c r="I48" s="237">
        <v>42.13</v>
      </c>
      <c r="J48" s="256"/>
      <c r="K48" s="237">
        <v>42.13</v>
      </c>
      <c r="L48" s="237"/>
      <c r="M48" s="237"/>
      <c r="N48" s="239">
        <v>42.13</v>
      </c>
      <c r="O48" s="239"/>
      <c r="P48" s="248">
        <v>42.13</v>
      </c>
      <c r="Q48" s="239"/>
      <c r="R48" s="239"/>
      <c r="S48" s="239"/>
      <c r="T48" s="257"/>
      <c r="U48" s="254"/>
      <c r="V48" s="240"/>
      <c r="W48" s="240"/>
      <c r="X48" s="240"/>
      <c r="Y48" s="240"/>
      <c r="Z48" s="258"/>
      <c r="AA48" s="258"/>
      <c r="AB48" s="241"/>
      <c r="AC48" s="242"/>
      <c r="AD48" s="259"/>
      <c r="AE48" s="258"/>
      <c r="AF48" s="258"/>
      <c r="AG48" s="240"/>
      <c r="AH48" s="240"/>
      <c r="AI48" s="240"/>
      <c r="AJ48" s="240"/>
      <c r="AK48" s="260"/>
      <c r="AL48" s="244"/>
      <c r="AM48" s="236"/>
      <c r="AN48" s="261"/>
    </row>
    <row r="49" spans="1:40" s="262" customFormat="1" ht="19.5" customHeight="1">
      <c r="A49" s="230"/>
      <c r="B49" s="251" t="s">
        <v>1299</v>
      </c>
      <c r="C49" s="250" t="s">
        <v>1267</v>
      </c>
      <c r="D49" s="252"/>
      <c r="E49" s="253"/>
      <c r="F49" s="254"/>
      <c r="G49" s="255"/>
      <c r="H49" s="255"/>
      <c r="I49" s="237">
        <v>70.36</v>
      </c>
      <c r="J49" s="256"/>
      <c r="K49" s="237">
        <v>70.36</v>
      </c>
      <c r="L49" s="237"/>
      <c r="M49" s="237"/>
      <c r="N49" s="239">
        <v>70.36</v>
      </c>
      <c r="O49" s="239"/>
      <c r="P49" s="248">
        <v>70.36</v>
      </c>
      <c r="Q49" s="239"/>
      <c r="R49" s="239"/>
      <c r="S49" s="239"/>
      <c r="T49" s="257"/>
      <c r="U49" s="254"/>
      <c r="V49" s="240"/>
      <c r="W49" s="240"/>
      <c r="X49" s="240"/>
      <c r="Y49" s="240"/>
      <c r="Z49" s="258"/>
      <c r="AA49" s="258"/>
      <c r="AB49" s="241"/>
      <c r="AC49" s="242"/>
      <c r="AD49" s="259"/>
      <c r="AE49" s="258"/>
      <c r="AF49" s="258"/>
      <c r="AG49" s="240"/>
      <c r="AH49" s="240"/>
      <c r="AI49" s="240"/>
      <c r="AJ49" s="240"/>
      <c r="AK49" s="260"/>
      <c r="AL49" s="244"/>
      <c r="AM49" s="236"/>
      <c r="AN49" s="261"/>
    </row>
    <row r="50" spans="1:40" s="262" customFormat="1" ht="19.5" customHeight="1">
      <c r="A50" s="230"/>
      <c r="B50" s="251" t="s">
        <v>1300</v>
      </c>
      <c r="C50" s="250" t="s">
        <v>1267</v>
      </c>
      <c r="D50" s="252"/>
      <c r="E50" s="253"/>
      <c r="F50" s="254"/>
      <c r="G50" s="255"/>
      <c r="H50" s="255"/>
      <c r="I50" s="237">
        <v>44.46</v>
      </c>
      <c r="J50" s="256"/>
      <c r="K50" s="237">
        <v>44.46</v>
      </c>
      <c r="L50" s="237"/>
      <c r="M50" s="237"/>
      <c r="N50" s="239">
        <v>44.46</v>
      </c>
      <c r="O50" s="239"/>
      <c r="P50" s="248">
        <v>44.46</v>
      </c>
      <c r="Q50" s="239"/>
      <c r="R50" s="239"/>
      <c r="S50" s="239"/>
      <c r="T50" s="257"/>
      <c r="U50" s="254"/>
      <c r="V50" s="240"/>
      <c r="W50" s="240"/>
      <c r="X50" s="240"/>
      <c r="Y50" s="240"/>
      <c r="Z50" s="258"/>
      <c r="AA50" s="258"/>
      <c r="AB50" s="241"/>
      <c r="AC50" s="242"/>
      <c r="AD50" s="259"/>
      <c r="AE50" s="258"/>
      <c r="AF50" s="258"/>
      <c r="AG50" s="240"/>
      <c r="AH50" s="240"/>
      <c r="AI50" s="240"/>
      <c r="AJ50" s="240"/>
      <c r="AK50" s="260"/>
      <c r="AL50" s="244"/>
      <c r="AM50" s="236"/>
      <c r="AN50" s="261"/>
    </row>
    <row r="51" spans="1:40" s="262" customFormat="1" ht="19.5" customHeight="1">
      <c r="A51" s="230"/>
      <c r="B51" s="251" t="s">
        <v>1301</v>
      </c>
      <c r="C51" s="250" t="s">
        <v>1267</v>
      </c>
      <c r="D51" s="252"/>
      <c r="E51" s="253"/>
      <c r="F51" s="254"/>
      <c r="G51" s="255"/>
      <c r="H51" s="255"/>
      <c r="I51" s="237">
        <v>66.11</v>
      </c>
      <c r="J51" s="256"/>
      <c r="K51" s="237">
        <v>66.11</v>
      </c>
      <c r="L51" s="237"/>
      <c r="M51" s="237"/>
      <c r="N51" s="239">
        <v>66.11</v>
      </c>
      <c r="O51" s="239"/>
      <c r="P51" s="248">
        <v>66.11</v>
      </c>
      <c r="Q51" s="239"/>
      <c r="R51" s="239"/>
      <c r="S51" s="239"/>
      <c r="T51" s="257"/>
      <c r="U51" s="254"/>
      <c r="V51" s="240"/>
      <c r="W51" s="240"/>
      <c r="X51" s="240"/>
      <c r="Y51" s="240"/>
      <c r="Z51" s="258"/>
      <c r="AA51" s="258"/>
      <c r="AB51" s="241"/>
      <c r="AC51" s="242"/>
      <c r="AD51" s="259"/>
      <c r="AE51" s="258"/>
      <c r="AF51" s="258"/>
      <c r="AG51" s="240"/>
      <c r="AH51" s="240"/>
      <c r="AI51" s="240"/>
      <c r="AJ51" s="240"/>
      <c r="AK51" s="260"/>
      <c r="AL51" s="244"/>
      <c r="AM51" s="236"/>
      <c r="AN51" s="261"/>
    </row>
    <row r="52" spans="1:40" s="262" customFormat="1" ht="19.5" customHeight="1">
      <c r="A52" s="230"/>
      <c r="B52" s="251" t="s">
        <v>1302</v>
      </c>
      <c r="C52" s="250" t="s">
        <v>1267</v>
      </c>
      <c r="D52" s="252"/>
      <c r="E52" s="253"/>
      <c r="F52" s="254"/>
      <c r="G52" s="255"/>
      <c r="H52" s="255"/>
      <c r="I52" s="237">
        <v>39.42</v>
      </c>
      <c r="J52" s="256"/>
      <c r="K52" s="237">
        <v>39.42</v>
      </c>
      <c r="L52" s="237"/>
      <c r="M52" s="237"/>
      <c r="N52" s="239">
        <v>39.42</v>
      </c>
      <c r="O52" s="239"/>
      <c r="P52" s="248">
        <v>39.42</v>
      </c>
      <c r="Q52" s="239"/>
      <c r="R52" s="239"/>
      <c r="S52" s="239"/>
      <c r="T52" s="257"/>
      <c r="U52" s="254"/>
      <c r="V52" s="240"/>
      <c r="W52" s="240"/>
      <c r="X52" s="240"/>
      <c r="Y52" s="240"/>
      <c r="Z52" s="258"/>
      <c r="AA52" s="258"/>
      <c r="AB52" s="241"/>
      <c r="AC52" s="242"/>
      <c r="AD52" s="259"/>
      <c r="AE52" s="258"/>
      <c r="AF52" s="258"/>
      <c r="AG52" s="240"/>
      <c r="AH52" s="240"/>
      <c r="AI52" s="240"/>
      <c r="AJ52" s="240"/>
      <c r="AK52" s="260"/>
      <c r="AL52" s="244"/>
      <c r="AM52" s="236"/>
      <c r="AN52" s="261"/>
    </row>
    <row r="53" spans="1:40" s="262" customFormat="1" ht="19.5" customHeight="1">
      <c r="A53" s="230"/>
      <c r="B53" s="251" t="s">
        <v>1303</v>
      </c>
      <c r="C53" s="250" t="s">
        <v>1267</v>
      </c>
      <c r="D53" s="252"/>
      <c r="E53" s="253"/>
      <c r="F53" s="254"/>
      <c r="G53" s="255"/>
      <c r="H53" s="255"/>
      <c r="I53" s="237">
        <v>33.29</v>
      </c>
      <c r="J53" s="256"/>
      <c r="K53" s="237">
        <v>33.29</v>
      </c>
      <c r="L53" s="237"/>
      <c r="M53" s="237"/>
      <c r="N53" s="239">
        <v>33.29</v>
      </c>
      <c r="O53" s="239"/>
      <c r="P53" s="248">
        <v>33.29</v>
      </c>
      <c r="Q53" s="239"/>
      <c r="R53" s="239"/>
      <c r="S53" s="239"/>
      <c r="T53" s="257"/>
      <c r="U53" s="254"/>
      <c r="V53" s="240"/>
      <c r="W53" s="240"/>
      <c r="X53" s="240"/>
      <c r="Y53" s="240"/>
      <c r="Z53" s="258"/>
      <c r="AA53" s="258"/>
      <c r="AB53" s="241"/>
      <c r="AC53" s="242"/>
      <c r="AD53" s="259"/>
      <c r="AE53" s="258"/>
      <c r="AF53" s="258"/>
      <c r="AG53" s="240"/>
      <c r="AH53" s="240"/>
      <c r="AI53" s="240"/>
      <c r="AJ53" s="240"/>
      <c r="AK53" s="260"/>
      <c r="AL53" s="244"/>
      <c r="AM53" s="236"/>
      <c r="AN53" s="261"/>
    </row>
    <row r="54" spans="1:40" s="262" customFormat="1" ht="19.5" customHeight="1">
      <c r="A54" s="230"/>
      <c r="B54" s="251" t="s">
        <v>1304</v>
      </c>
      <c r="C54" s="250" t="s">
        <v>1267</v>
      </c>
      <c r="D54" s="252"/>
      <c r="E54" s="253"/>
      <c r="F54" s="254"/>
      <c r="G54" s="255"/>
      <c r="H54" s="255"/>
      <c r="I54" s="237">
        <v>48.89</v>
      </c>
      <c r="J54" s="256"/>
      <c r="K54" s="237">
        <v>48.89</v>
      </c>
      <c r="L54" s="237"/>
      <c r="M54" s="237"/>
      <c r="N54" s="239">
        <v>48.89</v>
      </c>
      <c r="O54" s="239"/>
      <c r="P54" s="248">
        <v>48.89</v>
      </c>
      <c r="Q54" s="239"/>
      <c r="R54" s="239"/>
      <c r="S54" s="239"/>
      <c r="T54" s="257"/>
      <c r="U54" s="254"/>
      <c r="V54" s="240"/>
      <c r="W54" s="240"/>
      <c r="X54" s="240"/>
      <c r="Y54" s="240"/>
      <c r="Z54" s="258"/>
      <c r="AA54" s="258"/>
      <c r="AB54" s="241"/>
      <c r="AC54" s="242"/>
      <c r="AD54" s="259"/>
      <c r="AE54" s="258"/>
      <c r="AF54" s="258"/>
      <c r="AG54" s="240"/>
      <c r="AH54" s="240"/>
      <c r="AI54" s="240"/>
      <c r="AJ54" s="240"/>
      <c r="AK54" s="260"/>
      <c r="AL54" s="244"/>
      <c r="AM54" s="236"/>
      <c r="AN54" s="261"/>
    </row>
    <row r="55" spans="1:40" s="262" customFormat="1" ht="19.5" customHeight="1">
      <c r="A55" s="230"/>
      <c r="B55" s="251" t="s">
        <v>1305</v>
      </c>
      <c r="C55" s="250" t="s">
        <v>1267</v>
      </c>
      <c r="D55" s="252"/>
      <c r="E55" s="253"/>
      <c r="F55" s="254"/>
      <c r="G55" s="255"/>
      <c r="H55" s="255"/>
      <c r="I55" s="237">
        <v>41.96</v>
      </c>
      <c r="J55" s="256"/>
      <c r="K55" s="237">
        <v>41.96</v>
      </c>
      <c r="L55" s="237"/>
      <c r="M55" s="237"/>
      <c r="N55" s="239">
        <v>41.96</v>
      </c>
      <c r="O55" s="239"/>
      <c r="P55" s="248">
        <v>41.96</v>
      </c>
      <c r="Q55" s="239"/>
      <c r="R55" s="239"/>
      <c r="S55" s="239"/>
      <c r="T55" s="257"/>
      <c r="U55" s="254"/>
      <c r="V55" s="240"/>
      <c r="W55" s="240"/>
      <c r="X55" s="240"/>
      <c r="Y55" s="240"/>
      <c r="Z55" s="258"/>
      <c r="AA55" s="258"/>
      <c r="AB55" s="241"/>
      <c r="AC55" s="242"/>
      <c r="AD55" s="259"/>
      <c r="AE55" s="258"/>
      <c r="AF55" s="258"/>
      <c r="AG55" s="240"/>
      <c r="AH55" s="240"/>
      <c r="AI55" s="240"/>
      <c r="AJ55" s="240"/>
      <c r="AK55" s="260"/>
      <c r="AL55" s="244"/>
      <c r="AM55" s="236"/>
      <c r="AN55" s="261"/>
    </row>
    <row r="56" spans="1:40" s="262" customFormat="1" ht="28.5" customHeight="1">
      <c r="A56" s="230"/>
      <c r="B56" s="251" t="s">
        <v>1306</v>
      </c>
      <c r="C56" s="250" t="s">
        <v>1267</v>
      </c>
      <c r="D56" s="252"/>
      <c r="E56" s="253"/>
      <c r="F56" s="254"/>
      <c r="G56" s="255"/>
      <c r="H56" s="255"/>
      <c r="I56" s="237">
        <v>124.89</v>
      </c>
      <c r="J56" s="256"/>
      <c r="K56" s="237">
        <v>124.89</v>
      </c>
      <c r="L56" s="237"/>
      <c r="M56" s="237"/>
      <c r="N56" s="239">
        <v>124.89</v>
      </c>
      <c r="O56" s="239"/>
      <c r="P56" s="248">
        <v>124.89</v>
      </c>
      <c r="Q56" s="239"/>
      <c r="R56" s="239"/>
      <c r="S56" s="239"/>
      <c r="T56" s="257"/>
      <c r="U56" s="254"/>
      <c r="V56" s="240"/>
      <c r="W56" s="240"/>
      <c r="X56" s="240"/>
      <c r="Y56" s="240"/>
      <c r="Z56" s="258"/>
      <c r="AA56" s="258"/>
      <c r="AB56" s="241"/>
      <c r="AC56" s="242"/>
      <c r="AD56" s="259"/>
      <c r="AE56" s="258"/>
      <c r="AF56" s="258"/>
      <c r="AG56" s="240"/>
      <c r="AH56" s="240"/>
      <c r="AI56" s="240"/>
      <c r="AJ56" s="240"/>
      <c r="AK56" s="260"/>
      <c r="AL56" s="244"/>
      <c r="AM56" s="236"/>
      <c r="AN56" s="261"/>
    </row>
    <row r="57" spans="1:40" s="262" customFormat="1" ht="19.5" customHeight="1">
      <c r="A57" s="230"/>
      <c r="B57" s="251" t="s">
        <v>1307</v>
      </c>
      <c r="C57" s="250" t="s">
        <v>1267</v>
      </c>
      <c r="D57" s="252"/>
      <c r="E57" s="253"/>
      <c r="F57" s="254"/>
      <c r="G57" s="255"/>
      <c r="H57" s="255"/>
      <c r="I57" s="237">
        <v>85.19</v>
      </c>
      <c r="J57" s="256"/>
      <c r="K57" s="237">
        <v>85.19</v>
      </c>
      <c r="L57" s="237"/>
      <c r="M57" s="237"/>
      <c r="N57" s="239">
        <v>85.19</v>
      </c>
      <c r="O57" s="239"/>
      <c r="P57" s="248">
        <v>85.19</v>
      </c>
      <c r="Q57" s="239"/>
      <c r="R57" s="239"/>
      <c r="S57" s="239"/>
      <c r="T57" s="257"/>
      <c r="U57" s="254"/>
      <c r="V57" s="240"/>
      <c r="W57" s="240"/>
      <c r="X57" s="240"/>
      <c r="Y57" s="240"/>
      <c r="Z57" s="258"/>
      <c r="AA57" s="258"/>
      <c r="AB57" s="241"/>
      <c r="AC57" s="242"/>
      <c r="AD57" s="259"/>
      <c r="AE57" s="258"/>
      <c r="AF57" s="258"/>
      <c r="AG57" s="240"/>
      <c r="AH57" s="240"/>
      <c r="AI57" s="240"/>
      <c r="AJ57" s="240"/>
      <c r="AK57" s="260"/>
      <c r="AL57" s="244"/>
      <c r="AM57" s="236"/>
      <c r="AN57" s="261"/>
    </row>
    <row r="58" spans="1:40" s="262" customFormat="1" ht="19.5" customHeight="1">
      <c r="A58" s="230"/>
      <c r="B58" s="251" t="s">
        <v>1308</v>
      </c>
      <c r="C58" s="250" t="s">
        <v>1267</v>
      </c>
      <c r="D58" s="252"/>
      <c r="E58" s="253"/>
      <c r="F58" s="254"/>
      <c r="G58" s="255"/>
      <c r="H58" s="255"/>
      <c r="I58" s="237">
        <v>109.96</v>
      </c>
      <c r="J58" s="256"/>
      <c r="K58" s="237">
        <v>109.96</v>
      </c>
      <c r="L58" s="237"/>
      <c r="M58" s="237"/>
      <c r="N58" s="239">
        <v>109.96</v>
      </c>
      <c r="O58" s="239"/>
      <c r="P58" s="248">
        <v>109.96</v>
      </c>
      <c r="Q58" s="239"/>
      <c r="R58" s="239"/>
      <c r="S58" s="239"/>
      <c r="T58" s="257"/>
      <c r="U58" s="254"/>
      <c r="V58" s="240"/>
      <c r="W58" s="240"/>
      <c r="X58" s="240"/>
      <c r="Y58" s="240"/>
      <c r="Z58" s="258"/>
      <c r="AA58" s="258"/>
      <c r="AB58" s="241"/>
      <c r="AC58" s="242"/>
      <c r="AD58" s="259"/>
      <c r="AE58" s="258"/>
      <c r="AF58" s="258"/>
      <c r="AG58" s="240"/>
      <c r="AH58" s="240"/>
      <c r="AI58" s="240"/>
      <c r="AJ58" s="240"/>
      <c r="AK58" s="260"/>
      <c r="AL58" s="244"/>
      <c r="AM58" s="236"/>
      <c r="AN58" s="261"/>
    </row>
    <row r="59" spans="1:40" s="262" customFormat="1" ht="19.5" customHeight="1">
      <c r="A59" s="230"/>
      <c r="B59" s="251" t="s">
        <v>1309</v>
      </c>
      <c r="C59" s="250" t="s">
        <v>1267</v>
      </c>
      <c r="D59" s="252"/>
      <c r="E59" s="253"/>
      <c r="F59" s="254"/>
      <c r="G59" s="255"/>
      <c r="H59" s="255"/>
      <c r="I59" s="237">
        <v>75.05</v>
      </c>
      <c r="J59" s="256"/>
      <c r="K59" s="237">
        <v>75.05</v>
      </c>
      <c r="L59" s="237"/>
      <c r="M59" s="237"/>
      <c r="N59" s="239">
        <v>75.05</v>
      </c>
      <c r="O59" s="239"/>
      <c r="P59" s="248">
        <v>75.05</v>
      </c>
      <c r="Q59" s="239"/>
      <c r="R59" s="239"/>
      <c r="S59" s="239"/>
      <c r="T59" s="257"/>
      <c r="U59" s="254"/>
      <c r="V59" s="240"/>
      <c r="W59" s="240"/>
      <c r="X59" s="240"/>
      <c r="Y59" s="240"/>
      <c r="Z59" s="258"/>
      <c r="AA59" s="258"/>
      <c r="AB59" s="241"/>
      <c r="AC59" s="242"/>
      <c r="AD59" s="259"/>
      <c r="AE59" s="258"/>
      <c r="AF59" s="258"/>
      <c r="AG59" s="240"/>
      <c r="AH59" s="240"/>
      <c r="AI59" s="240"/>
      <c r="AJ59" s="240"/>
      <c r="AK59" s="260"/>
      <c r="AL59" s="244"/>
      <c r="AM59" s="236"/>
      <c r="AN59" s="261"/>
    </row>
    <row r="60" spans="1:40" s="262" customFormat="1" ht="19.5" customHeight="1">
      <c r="A60" s="230"/>
      <c r="B60" s="251" t="s">
        <v>1310</v>
      </c>
      <c r="C60" s="250" t="s">
        <v>1267</v>
      </c>
      <c r="D60" s="252"/>
      <c r="E60" s="253"/>
      <c r="F60" s="254"/>
      <c r="G60" s="255"/>
      <c r="H60" s="255"/>
      <c r="I60" s="237">
        <v>29.01</v>
      </c>
      <c r="J60" s="256"/>
      <c r="K60" s="237">
        <v>29.01</v>
      </c>
      <c r="L60" s="237"/>
      <c r="M60" s="237"/>
      <c r="N60" s="239">
        <v>29.01</v>
      </c>
      <c r="O60" s="239"/>
      <c r="P60" s="248">
        <v>29.01</v>
      </c>
      <c r="Q60" s="239"/>
      <c r="R60" s="239"/>
      <c r="S60" s="239"/>
      <c r="T60" s="257"/>
      <c r="U60" s="254"/>
      <c r="V60" s="240"/>
      <c r="W60" s="240"/>
      <c r="X60" s="240"/>
      <c r="Y60" s="240"/>
      <c r="Z60" s="258"/>
      <c r="AA60" s="258"/>
      <c r="AB60" s="241"/>
      <c r="AC60" s="242"/>
      <c r="AD60" s="259"/>
      <c r="AE60" s="258"/>
      <c r="AF60" s="258"/>
      <c r="AG60" s="240"/>
      <c r="AH60" s="240"/>
      <c r="AI60" s="240"/>
      <c r="AJ60" s="240"/>
      <c r="AK60" s="260"/>
      <c r="AL60" s="244"/>
      <c r="AM60" s="236"/>
      <c r="AN60" s="261"/>
    </row>
    <row r="61" spans="1:40" s="262" customFormat="1" ht="19.5" customHeight="1">
      <c r="A61" s="230"/>
      <c r="B61" s="251" t="s">
        <v>1311</v>
      </c>
      <c r="C61" s="250" t="s">
        <v>1267</v>
      </c>
      <c r="D61" s="252"/>
      <c r="E61" s="253"/>
      <c r="F61" s="254"/>
      <c r="G61" s="255"/>
      <c r="H61" s="255"/>
      <c r="I61" s="237">
        <v>126.64</v>
      </c>
      <c r="J61" s="256"/>
      <c r="K61" s="237">
        <v>126.64</v>
      </c>
      <c r="L61" s="237"/>
      <c r="M61" s="237"/>
      <c r="N61" s="239">
        <v>126.64</v>
      </c>
      <c r="O61" s="239"/>
      <c r="P61" s="248">
        <v>126.64</v>
      </c>
      <c r="Q61" s="239"/>
      <c r="R61" s="239"/>
      <c r="S61" s="239"/>
      <c r="T61" s="257"/>
      <c r="U61" s="254"/>
      <c r="V61" s="240"/>
      <c r="W61" s="240"/>
      <c r="X61" s="240"/>
      <c r="Y61" s="240"/>
      <c r="Z61" s="258"/>
      <c r="AA61" s="258"/>
      <c r="AB61" s="241"/>
      <c r="AC61" s="242"/>
      <c r="AD61" s="259"/>
      <c r="AE61" s="258"/>
      <c r="AF61" s="258"/>
      <c r="AG61" s="240"/>
      <c r="AH61" s="240"/>
      <c r="AI61" s="240"/>
      <c r="AJ61" s="240"/>
      <c r="AK61" s="260"/>
      <c r="AL61" s="244"/>
      <c r="AM61" s="236"/>
      <c r="AN61" s="261"/>
    </row>
    <row r="62" spans="1:40" s="262" customFormat="1" ht="19.5" customHeight="1">
      <c r="A62" s="230"/>
      <c r="B62" s="251" t="s">
        <v>1312</v>
      </c>
      <c r="C62" s="250" t="s">
        <v>1267</v>
      </c>
      <c r="D62" s="252"/>
      <c r="E62" s="253"/>
      <c r="F62" s="254"/>
      <c r="G62" s="255"/>
      <c r="H62" s="255"/>
      <c r="I62" s="237">
        <v>44.58</v>
      </c>
      <c r="J62" s="256"/>
      <c r="K62" s="237">
        <v>44.58</v>
      </c>
      <c r="L62" s="237"/>
      <c r="M62" s="237"/>
      <c r="N62" s="239">
        <v>44.58</v>
      </c>
      <c r="O62" s="239"/>
      <c r="P62" s="248">
        <v>44.58</v>
      </c>
      <c r="Q62" s="239"/>
      <c r="R62" s="239"/>
      <c r="S62" s="239"/>
      <c r="T62" s="257"/>
      <c r="U62" s="254"/>
      <c r="V62" s="240"/>
      <c r="W62" s="240"/>
      <c r="X62" s="240"/>
      <c r="Y62" s="240"/>
      <c r="Z62" s="258"/>
      <c r="AA62" s="258"/>
      <c r="AB62" s="241"/>
      <c r="AC62" s="242"/>
      <c r="AD62" s="259"/>
      <c r="AE62" s="258"/>
      <c r="AF62" s="258"/>
      <c r="AG62" s="240"/>
      <c r="AH62" s="240"/>
      <c r="AI62" s="240"/>
      <c r="AJ62" s="240"/>
      <c r="AK62" s="260"/>
      <c r="AL62" s="244"/>
      <c r="AM62" s="236"/>
      <c r="AN62" s="261"/>
    </row>
    <row r="63" spans="1:40" s="262" customFormat="1" ht="19.5" customHeight="1">
      <c r="A63" s="230"/>
      <c r="B63" s="251" t="s">
        <v>1313</v>
      </c>
      <c r="C63" s="250" t="s">
        <v>1267</v>
      </c>
      <c r="D63" s="252"/>
      <c r="E63" s="253"/>
      <c r="F63" s="254"/>
      <c r="G63" s="255"/>
      <c r="H63" s="255"/>
      <c r="I63" s="237">
        <v>450.98</v>
      </c>
      <c r="J63" s="256"/>
      <c r="K63" s="237">
        <v>450.98</v>
      </c>
      <c r="L63" s="237"/>
      <c r="M63" s="237"/>
      <c r="N63" s="239">
        <v>450.98</v>
      </c>
      <c r="O63" s="239"/>
      <c r="P63" s="248">
        <v>450.98</v>
      </c>
      <c r="Q63" s="239"/>
      <c r="R63" s="239"/>
      <c r="S63" s="239"/>
      <c r="T63" s="257"/>
      <c r="U63" s="254"/>
      <c r="V63" s="240"/>
      <c r="W63" s="240"/>
      <c r="X63" s="240"/>
      <c r="Y63" s="240"/>
      <c r="Z63" s="258"/>
      <c r="AA63" s="258"/>
      <c r="AB63" s="241"/>
      <c r="AC63" s="242"/>
      <c r="AD63" s="259"/>
      <c r="AE63" s="258"/>
      <c r="AF63" s="258"/>
      <c r="AG63" s="240"/>
      <c r="AH63" s="240"/>
      <c r="AI63" s="240"/>
      <c r="AJ63" s="240"/>
      <c r="AK63" s="260"/>
      <c r="AL63" s="244"/>
      <c r="AM63" s="236"/>
      <c r="AN63" s="261"/>
    </row>
    <row r="64" spans="1:40" s="262" customFormat="1" ht="19.5" customHeight="1">
      <c r="A64" s="275" t="s">
        <v>1280</v>
      </c>
      <c r="B64" s="276" t="s">
        <v>1314</v>
      </c>
      <c r="C64" s="277"/>
      <c r="D64" s="278"/>
      <c r="E64" s="279"/>
      <c r="F64" s="280"/>
      <c r="G64" s="281"/>
      <c r="H64" s="281"/>
      <c r="I64" s="282">
        <f aca="true" t="shared" si="20" ref="I64:U64">SUM(I65:I70)</f>
        <v>10682.609</v>
      </c>
      <c r="J64" s="282">
        <f t="shared" si="20"/>
        <v>0</v>
      </c>
      <c r="K64" s="282">
        <f t="shared" si="20"/>
        <v>10682.609</v>
      </c>
      <c r="L64" s="282">
        <f t="shared" si="20"/>
        <v>0</v>
      </c>
      <c r="M64" s="282">
        <f t="shared" si="20"/>
        <v>0</v>
      </c>
      <c r="N64" s="282">
        <f t="shared" si="20"/>
        <v>10682.609</v>
      </c>
      <c r="O64" s="282">
        <f t="shared" si="20"/>
        <v>0</v>
      </c>
      <c r="P64" s="282">
        <f t="shared" si="20"/>
        <v>10682.609</v>
      </c>
      <c r="Q64" s="282">
        <f t="shared" si="20"/>
        <v>0</v>
      </c>
      <c r="R64" s="282">
        <f t="shared" si="20"/>
        <v>0</v>
      </c>
      <c r="S64" s="282">
        <f t="shared" si="20"/>
        <v>0</v>
      </c>
      <c r="T64" s="282">
        <f t="shared" si="20"/>
        <v>0</v>
      </c>
      <c r="U64" s="282">
        <f t="shared" si="20"/>
        <v>0</v>
      </c>
      <c r="V64" s="240"/>
      <c r="W64" s="240"/>
      <c r="X64" s="240"/>
      <c r="Y64" s="240"/>
      <c r="Z64" s="258"/>
      <c r="AA64" s="258"/>
      <c r="AB64" s="241"/>
      <c r="AC64" s="242"/>
      <c r="AD64" s="259"/>
      <c r="AE64" s="258"/>
      <c r="AF64" s="258"/>
      <c r="AG64" s="240"/>
      <c r="AH64" s="240"/>
      <c r="AI64" s="240"/>
      <c r="AJ64" s="240"/>
      <c r="AK64" s="260"/>
      <c r="AL64" s="244"/>
      <c r="AM64" s="236"/>
      <c r="AN64" s="261"/>
    </row>
    <row r="65" spans="1:40" s="262" customFormat="1" ht="19.5" customHeight="1">
      <c r="A65" s="230"/>
      <c r="B65" s="251" t="s">
        <v>1315</v>
      </c>
      <c r="C65" s="250" t="s">
        <v>1316</v>
      </c>
      <c r="D65" s="252"/>
      <c r="E65" s="253"/>
      <c r="F65" s="254"/>
      <c r="G65" s="255"/>
      <c r="H65" s="255"/>
      <c r="I65" s="237">
        <f>SUM(K65,M65)</f>
        <v>3000</v>
      </c>
      <c r="J65" s="256"/>
      <c r="K65" s="248">
        <v>3000</v>
      </c>
      <c r="L65" s="237"/>
      <c r="M65" s="237"/>
      <c r="N65" s="239">
        <f>SUM(P65,U65)</f>
        <v>3000</v>
      </c>
      <c r="O65" s="239"/>
      <c r="P65" s="248">
        <v>3000</v>
      </c>
      <c r="Q65" s="239"/>
      <c r="R65" s="239"/>
      <c r="S65" s="239"/>
      <c r="T65" s="257"/>
      <c r="U65" s="254"/>
      <c r="V65" s="240"/>
      <c r="W65" s="240"/>
      <c r="X65" s="240"/>
      <c r="Y65" s="240"/>
      <c r="Z65" s="258"/>
      <c r="AA65" s="258"/>
      <c r="AB65" s="241"/>
      <c r="AC65" s="242"/>
      <c r="AD65" s="259"/>
      <c r="AE65" s="258"/>
      <c r="AF65" s="258"/>
      <c r="AG65" s="240"/>
      <c r="AH65" s="240"/>
      <c r="AI65" s="240"/>
      <c r="AJ65" s="240"/>
      <c r="AK65" s="260"/>
      <c r="AL65" s="244"/>
      <c r="AM65" s="236"/>
      <c r="AN65" s="261"/>
    </row>
    <row r="66" spans="1:40" s="262" customFormat="1" ht="19.5" customHeight="1">
      <c r="A66" s="230"/>
      <c r="B66" s="251" t="s">
        <v>1317</v>
      </c>
      <c r="C66" s="250" t="s">
        <v>1267</v>
      </c>
      <c r="D66" s="252"/>
      <c r="E66" s="253"/>
      <c r="F66" s="254"/>
      <c r="G66" s="255"/>
      <c r="H66" s="255"/>
      <c r="I66" s="237">
        <f>SUM(K66,M66)</f>
        <v>3545.24</v>
      </c>
      <c r="J66" s="256"/>
      <c r="K66" s="248">
        <v>3545.24</v>
      </c>
      <c r="L66" s="237"/>
      <c r="M66" s="237"/>
      <c r="N66" s="239">
        <f>SUM(P66,U66)</f>
        <v>3545.24</v>
      </c>
      <c r="O66" s="239"/>
      <c r="P66" s="248">
        <v>3545.24</v>
      </c>
      <c r="Q66" s="239"/>
      <c r="R66" s="239"/>
      <c r="S66" s="239"/>
      <c r="T66" s="257"/>
      <c r="U66" s="254"/>
      <c r="V66" s="240"/>
      <c r="W66" s="240"/>
      <c r="X66" s="240"/>
      <c r="Y66" s="240"/>
      <c r="Z66" s="258"/>
      <c r="AA66" s="258"/>
      <c r="AB66" s="241"/>
      <c r="AC66" s="242"/>
      <c r="AD66" s="259"/>
      <c r="AE66" s="258"/>
      <c r="AF66" s="258"/>
      <c r="AG66" s="240"/>
      <c r="AH66" s="240"/>
      <c r="AI66" s="240"/>
      <c r="AJ66" s="240"/>
      <c r="AK66" s="260"/>
      <c r="AL66" s="244"/>
      <c r="AM66" s="236"/>
      <c r="AN66" s="261"/>
    </row>
    <row r="67" spans="1:40" s="262" customFormat="1" ht="19.5" customHeight="1">
      <c r="A67" s="230"/>
      <c r="B67" s="251" t="s">
        <v>1319</v>
      </c>
      <c r="C67" s="250" t="s">
        <v>1267</v>
      </c>
      <c r="D67" s="252"/>
      <c r="E67" s="253"/>
      <c r="F67" s="254"/>
      <c r="G67" s="255"/>
      <c r="H67" s="255"/>
      <c r="I67" s="237">
        <f>SUM(K67,M67)</f>
        <v>1000</v>
      </c>
      <c r="J67" s="256"/>
      <c r="K67" s="248">
        <v>1000</v>
      </c>
      <c r="L67" s="237"/>
      <c r="M67" s="237"/>
      <c r="N67" s="239">
        <f>SUM(P67,U67)</f>
        <v>1000</v>
      </c>
      <c r="O67" s="239"/>
      <c r="P67" s="248">
        <v>1000</v>
      </c>
      <c r="Q67" s="239"/>
      <c r="R67" s="239"/>
      <c r="S67" s="239"/>
      <c r="T67" s="257"/>
      <c r="U67" s="254"/>
      <c r="V67" s="240"/>
      <c r="W67" s="240"/>
      <c r="X67" s="240"/>
      <c r="Y67" s="240"/>
      <c r="Z67" s="258"/>
      <c r="AA67" s="258"/>
      <c r="AB67" s="241"/>
      <c r="AC67" s="242"/>
      <c r="AD67" s="259"/>
      <c r="AE67" s="258"/>
      <c r="AF67" s="258"/>
      <c r="AG67" s="240"/>
      <c r="AH67" s="240"/>
      <c r="AI67" s="240"/>
      <c r="AJ67" s="240"/>
      <c r="AK67" s="260"/>
      <c r="AL67" s="244"/>
      <c r="AM67" s="236"/>
      <c r="AN67" s="261"/>
    </row>
    <row r="68" spans="1:40" s="262" customFormat="1" ht="19.5" customHeight="1">
      <c r="A68" s="230"/>
      <c r="B68" s="251" t="s">
        <v>1320</v>
      </c>
      <c r="C68" s="250" t="s">
        <v>1267</v>
      </c>
      <c r="D68" s="252"/>
      <c r="E68" s="253"/>
      <c r="F68" s="254"/>
      <c r="G68" s="255"/>
      <c r="H68" s="255"/>
      <c r="I68" s="237">
        <f>SUM(K68,M68)</f>
        <v>734.588</v>
      </c>
      <c r="J68" s="256"/>
      <c r="K68" s="237">
        <v>734.588</v>
      </c>
      <c r="L68" s="237"/>
      <c r="M68" s="237"/>
      <c r="N68" s="237">
        <v>734.588</v>
      </c>
      <c r="O68" s="239"/>
      <c r="P68" s="237">
        <v>734.588</v>
      </c>
      <c r="Q68" s="239"/>
      <c r="R68" s="239"/>
      <c r="S68" s="239"/>
      <c r="T68" s="257"/>
      <c r="U68" s="254"/>
      <c r="V68" s="240"/>
      <c r="W68" s="240"/>
      <c r="X68" s="240"/>
      <c r="Y68" s="240"/>
      <c r="Z68" s="258"/>
      <c r="AA68" s="258"/>
      <c r="AB68" s="241"/>
      <c r="AC68" s="242"/>
      <c r="AD68" s="259"/>
      <c r="AE68" s="258"/>
      <c r="AF68" s="258"/>
      <c r="AG68" s="240"/>
      <c r="AH68" s="240"/>
      <c r="AI68" s="240"/>
      <c r="AJ68" s="240"/>
      <c r="AK68" s="260"/>
      <c r="AL68" s="244"/>
      <c r="AM68" s="236"/>
      <c r="AN68" s="261"/>
    </row>
    <row r="69" spans="1:40" s="262" customFormat="1" ht="19.5" customHeight="1">
      <c r="A69" s="230"/>
      <c r="B69" s="251" t="s">
        <v>1321</v>
      </c>
      <c r="C69" s="250" t="s">
        <v>1267</v>
      </c>
      <c r="D69" s="252"/>
      <c r="E69" s="253"/>
      <c r="F69" s="254"/>
      <c r="G69" s="255"/>
      <c r="H69" s="255"/>
      <c r="I69" s="237">
        <v>765.412</v>
      </c>
      <c r="J69" s="256"/>
      <c r="K69" s="237">
        <v>765.412</v>
      </c>
      <c r="L69" s="237"/>
      <c r="M69" s="237"/>
      <c r="N69" s="237">
        <v>765.412</v>
      </c>
      <c r="O69" s="239"/>
      <c r="P69" s="237">
        <v>765.412</v>
      </c>
      <c r="Q69" s="239"/>
      <c r="R69" s="239"/>
      <c r="S69" s="239"/>
      <c r="T69" s="257"/>
      <c r="U69" s="254"/>
      <c r="V69" s="240"/>
      <c r="W69" s="240"/>
      <c r="X69" s="240"/>
      <c r="Y69" s="240"/>
      <c r="Z69" s="258"/>
      <c r="AA69" s="258"/>
      <c r="AB69" s="241"/>
      <c r="AC69" s="242"/>
      <c r="AD69" s="259"/>
      <c r="AE69" s="258"/>
      <c r="AF69" s="258"/>
      <c r="AG69" s="240"/>
      <c r="AH69" s="240"/>
      <c r="AI69" s="240"/>
      <c r="AJ69" s="240"/>
      <c r="AK69" s="260"/>
      <c r="AL69" s="244"/>
      <c r="AM69" s="236"/>
      <c r="AN69" s="261"/>
    </row>
    <row r="70" spans="1:40" s="262" customFormat="1" ht="19.5" customHeight="1">
      <c r="A70" s="230"/>
      <c r="B70" s="251" t="s">
        <v>1322</v>
      </c>
      <c r="C70" s="250" t="s">
        <v>1267</v>
      </c>
      <c r="D70" s="252"/>
      <c r="E70" s="253"/>
      <c r="F70" s="254"/>
      <c r="G70" s="255"/>
      <c r="H70" s="255"/>
      <c r="I70" s="237">
        <v>1637.369</v>
      </c>
      <c r="J70" s="256"/>
      <c r="K70" s="237">
        <v>1637.369</v>
      </c>
      <c r="L70" s="237"/>
      <c r="M70" s="237"/>
      <c r="N70" s="237">
        <v>1637.369</v>
      </c>
      <c r="O70" s="239"/>
      <c r="P70" s="237">
        <v>1637.369</v>
      </c>
      <c r="Q70" s="239"/>
      <c r="R70" s="239"/>
      <c r="S70" s="239"/>
      <c r="T70" s="257"/>
      <c r="U70" s="254"/>
      <c r="V70" s="240"/>
      <c r="W70" s="240"/>
      <c r="X70" s="240"/>
      <c r="Y70" s="240"/>
      <c r="Z70" s="258"/>
      <c r="AA70" s="258"/>
      <c r="AB70" s="241"/>
      <c r="AC70" s="242"/>
      <c r="AD70" s="259"/>
      <c r="AE70" s="258"/>
      <c r="AF70" s="258"/>
      <c r="AG70" s="240"/>
      <c r="AH70" s="240"/>
      <c r="AI70" s="240"/>
      <c r="AJ70" s="240"/>
      <c r="AK70" s="260"/>
      <c r="AL70" s="244"/>
      <c r="AM70" s="236"/>
      <c r="AN70" s="261"/>
    </row>
    <row r="71" spans="1:41" s="262" customFormat="1" ht="19.5" customHeight="1">
      <c r="A71" s="275">
        <v>2</v>
      </c>
      <c r="B71" s="276" t="s">
        <v>1323</v>
      </c>
      <c r="C71" s="285"/>
      <c r="D71" s="278"/>
      <c r="E71" s="279"/>
      <c r="F71" s="280"/>
      <c r="G71" s="281"/>
      <c r="H71" s="281"/>
      <c r="I71" s="282">
        <f>SUM(I72)</f>
        <v>150986.34</v>
      </c>
      <c r="J71" s="282">
        <f aca="true" t="shared" si="21" ref="J71:AO71">SUM(J72)</f>
        <v>0</v>
      </c>
      <c r="K71" s="282">
        <f t="shared" si="21"/>
        <v>150986.34</v>
      </c>
      <c r="L71" s="282">
        <f t="shared" si="21"/>
        <v>0</v>
      </c>
      <c r="M71" s="282">
        <f t="shared" si="21"/>
        <v>0</v>
      </c>
      <c r="N71" s="282">
        <f t="shared" si="21"/>
        <v>156330.119124</v>
      </c>
      <c r="O71" s="282">
        <f t="shared" si="21"/>
        <v>0</v>
      </c>
      <c r="P71" s="282">
        <f t="shared" si="21"/>
        <v>156330.119124</v>
      </c>
      <c r="Q71" s="282">
        <f t="shared" si="21"/>
        <v>122483.58510499998</v>
      </c>
      <c r="R71" s="282">
        <f t="shared" si="21"/>
        <v>38.658</v>
      </c>
      <c r="S71" s="282">
        <f t="shared" si="21"/>
        <v>8928.014019</v>
      </c>
      <c r="T71" s="282">
        <f t="shared" si="21"/>
        <v>0</v>
      </c>
      <c r="U71" s="282">
        <f t="shared" si="21"/>
        <v>0</v>
      </c>
      <c r="V71" s="282" t="e">
        <f t="shared" si="21"/>
        <v>#REF!</v>
      </c>
      <c r="W71" s="282" t="e">
        <f t="shared" si="21"/>
        <v>#REF!</v>
      </c>
      <c r="X71" s="282" t="e">
        <f t="shared" si="21"/>
        <v>#REF!</v>
      </c>
      <c r="Y71" s="282" t="e">
        <f t="shared" si="21"/>
        <v>#REF!</v>
      </c>
      <c r="Z71" s="282" t="e">
        <f t="shared" si="21"/>
        <v>#REF!</v>
      </c>
      <c r="AA71" s="282" t="e">
        <f t="shared" si="21"/>
        <v>#REF!</v>
      </c>
      <c r="AB71" s="282" t="e">
        <f t="shared" si="21"/>
        <v>#REF!</v>
      </c>
      <c r="AC71" s="282" t="e">
        <f t="shared" si="21"/>
        <v>#REF!</v>
      </c>
      <c r="AD71" s="282" t="e">
        <f t="shared" si="21"/>
        <v>#REF!</v>
      </c>
      <c r="AE71" s="282" t="e">
        <f t="shared" si="21"/>
        <v>#REF!</v>
      </c>
      <c r="AF71" s="282" t="e">
        <f t="shared" si="21"/>
        <v>#REF!</v>
      </c>
      <c r="AG71" s="282" t="e">
        <f t="shared" si="21"/>
        <v>#REF!</v>
      </c>
      <c r="AH71" s="282" t="e">
        <f t="shared" si="21"/>
        <v>#REF!</v>
      </c>
      <c r="AI71" s="282" t="e">
        <f t="shared" si="21"/>
        <v>#REF!</v>
      </c>
      <c r="AJ71" s="282" t="e">
        <f t="shared" si="21"/>
        <v>#REF!</v>
      </c>
      <c r="AK71" s="282" t="e">
        <f t="shared" si="21"/>
        <v>#REF!</v>
      </c>
      <c r="AL71" s="282" t="e">
        <f t="shared" si="21"/>
        <v>#REF!</v>
      </c>
      <c r="AM71" s="282" t="e">
        <f t="shared" si="21"/>
        <v>#REF!</v>
      </c>
      <c r="AN71" s="282">
        <f t="shared" si="21"/>
        <v>0</v>
      </c>
      <c r="AO71" s="282">
        <f t="shared" si="21"/>
        <v>0</v>
      </c>
    </row>
    <row r="72" spans="1:40" s="197" customFormat="1" ht="19.5" customHeight="1">
      <c r="A72" s="216"/>
      <c r="B72" s="286" t="s">
        <v>1324</v>
      </c>
      <c r="C72" s="218"/>
      <c r="D72" s="218"/>
      <c r="E72" s="219"/>
      <c r="F72" s="220"/>
      <c r="G72" s="221"/>
      <c r="H72" s="221"/>
      <c r="I72" s="222">
        <f aca="true" t="shared" si="22" ref="I72:U72">SUM(I73,I93,I105,I143,I158,I169,I194,I224,I232)</f>
        <v>150986.34</v>
      </c>
      <c r="J72" s="222">
        <f t="shared" si="22"/>
        <v>0</v>
      </c>
      <c r="K72" s="222">
        <f t="shared" si="22"/>
        <v>150986.34</v>
      </c>
      <c r="L72" s="222">
        <f t="shared" si="22"/>
        <v>0</v>
      </c>
      <c r="M72" s="222">
        <f t="shared" si="22"/>
        <v>0</v>
      </c>
      <c r="N72" s="222">
        <f t="shared" si="22"/>
        <v>156330.119124</v>
      </c>
      <c r="O72" s="222">
        <f t="shared" si="22"/>
        <v>0</v>
      </c>
      <c r="P72" s="222">
        <f t="shared" si="22"/>
        <v>156330.119124</v>
      </c>
      <c r="Q72" s="222">
        <f t="shared" si="22"/>
        <v>122483.58510499998</v>
      </c>
      <c r="R72" s="222">
        <f t="shared" si="22"/>
        <v>38.658</v>
      </c>
      <c r="S72" s="222">
        <f t="shared" si="22"/>
        <v>8928.014019</v>
      </c>
      <c r="T72" s="222">
        <f t="shared" si="22"/>
        <v>0</v>
      </c>
      <c r="U72" s="222">
        <f t="shared" si="22"/>
        <v>0</v>
      </c>
      <c r="V72" s="223" t="e">
        <f>SUM(#REF!,#REF!)</f>
        <v>#REF!</v>
      </c>
      <c r="W72" s="223" t="e">
        <f>SUM(#REF!,#REF!)</f>
        <v>#REF!</v>
      </c>
      <c r="X72" s="223" t="e">
        <f>SUM(#REF!,#REF!)</f>
        <v>#REF!</v>
      </c>
      <c r="Y72" s="223" t="e">
        <f>SUM(#REF!,#REF!)</f>
        <v>#REF!</v>
      </c>
      <c r="Z72" s="223" t="e">
        <f>SUM(#REF!,#REF!)</f>
        <v>#REF!</v>
      </c>
      <c r="AA72" s="223" t="e">
        <f>SUM(#REF!,#REF!)</f>
        <v>#REF!</v>
      </c>
      <c r="AB72" s="223" t="e">
        <f>SUM(#REF!,#REF!)</f>
        <v>#REF!</v>
      </c>
      <c r="AC72" s="223" t="e">
        <f>SUM(#REF!,#REF!)</f>
        <v>#REF!</v>
      </c>
      <c r="AD72" s="223" t="e">
        <f>SUM(#REF!,#REF!)</f>
        <v>#REF!</v>
      </c>
      <c r="AE72" s="223" t="e">
        <f>SUM(#REF!,#REF!)</f>
        <v>#REF!</v>
      </c>
      <c r="AF72" s="223" t="e">
        <f>SUM(#REF!,#REF!)</f>
        <v>#REF!</v>
      </c>
      <c r="AG72" s="223" t="e">
        <f>SUM(#REF!,#REF!)</f>
        <v>#REF!</v>
      </c>
      <c r="AH72" s="223" t="e">
        <f>SUM(#REF!,#REF!)</f>
        <v>#REF!</v>
      </c>
      <c r="AI72" s="223" t="e">
        <f>SUM(#REF!,#REF!)</f>
        <v>#REF!</v>
      </c>
      <c r="AJ72" s="223" t="e">
        <f>SUM(#REF!,#REF!)</f>
        <v>#REF!</v>
      </c>
      <c r="AK72" s="223" t="e">
        <f>SUM(#REF!,#REF!)</f>
        <v>#REF!</v>
      </c>
      <c r="AL72" s="221" t="e">
        <f>SUM(#REF!,#REF!)</f>
        <v>#REF!</v>
      </c>
      <c r="AM72" s="221" t="e">
        <f>SUM(#REF!,#REF!)</f>
        <v>#REF!</v>
      </c>
      <c r="AN72" s="196"/>
    </row>
    <row r="73" spans="1:40" s="294" customFormat="1" ht="19.5" customHeight="1">
      <c r="A73" s="275" t="s">
        <v>1325</v>
      </c>
      <c r="B73" s="287" t="s">
        <v>1326</v>
      </c>
      <c r="C73" s="288"/>
      <c r="D73" s="288"/>
      <c r="E73" s="289"/>
      <c r="F73" s="290"/>
      <c r="G73" s="291"/>
      <c r="H73" s="291"/>
      <c r="I73" s="282">
        <f>SUM(I74:I92)</f>
        <v>10198.27</v>
      </c>
      <c r="J73" s="282"/>
      <c r="K73" s="282">
        <f>SUM(K74:K92)</f>
        <v>10198.27</v>
      </c>
      <c r="L73" s="282"/>
      <c r="M73" s="282"/>
      <c r="N73" s="282">
        <f>SUM(N74,N76)</f>
        <v>12810.629737</v>
      </c>
      <c r="O73" s="282"/>
      <c r="P73" s="282">
        <f>SUM(P74,P76)</f>
        <v>12810.629737</v>
      </c>
      <c r="Q73" s="282">
        <f>SUM(Q74,Q76)</f>
        <v>10431.445</v>
      </c>
      <c r="R73" s="282">
        <f>SUM(R74,R76)</f>
        <v>0</v>
      </c>
      <c r="S73" s="282">
        <f>SUM(S74,S76)</f>
        <v>2379.184737</v>
      </c>
      <c r="T73" s="282"/>
      <c r="U73" s="291"/>
      <c r="V73" s="292">
        <f>SUM(V74:V90)</f>
        <v>2549976437</v>
      </c>
      <c r="W73" s="292">
        <f aca="true" t="shared" si="23" ref="W73:AM73">SUM(W74:W90)</f>
        <v>2549976437</v>
      </c>
      <c r="X73" s="292">
        <f t="shared" si="23"/>
        <v>0</v>
      </c>
      <c r="Y73" s="292">
        <f>SUM(Y74:Y90)</f>
        <v>10198270000</v>
      </c>
      <c r="Z73" s="292">
        <f>SUM(Z74:Z90)</f>
        <v>0</v>
      </c>
      <c r="AA73" s="292">
        <f>SUM(AA74:AA90)</f>
        <v>266825000</v>
      </c>
      <c r="AB73" s="292">
        <f>SUM(AB74:AB90)</f>
        <v>9931445000</v>
      </c>
      <c r="AC73" s="292">
        <f>SUM(AC74:AC90)</f>
        <v>10110629737</v>
      </c>
      <c r="AD73" s="292">
        <f t="shared" si="23"/>
        <v>7731445000</v>
      </c>
      <c r="AE73" s="292">
        <f t="shared" si="23"/>
        <v>0</v>
      </c>
      <c r="AF73" s="292">
        <f t="shared" si="23"/>
        <v>2379184737</v>
      </c>
      <c r="AG73" s="292">
        <f t="shared" si="23"/>
        <v>618000</v>
      </c>
      <c r="AH73" s="292">
        <f>SUM(AH74:AH90)</f>
        <v>2370173700</v>
      </c>
      <c r="AI73" s="292">
        <f>SUM(AI74:AI90)</f>
        <v>170173700</v>
      </c>
      <c r="AJ73" s="292">
        <f t="shared" si="23"/>
        <v>170173700</v>
      </c>
      <c r="AK73" s="292">
        <f t="shared" si="23"/>
        <v>0</v>
      </c>
      <c r="AL73" s="291">
        <f t="shared" si="23"/>
        <v>2200000000</v>
      </c>
      <c r="AM73" s="292">
        <f t="shared" si="23"/>
        <v>0</v>
      </c>
      <c r="AN73" s="293"/>
    </row>
    <row r="74" spans="1:40" s="294" customFormat="1" ht="19.5" customHeight="1">
      <c r="A74" s="275"/>
      <c r="B74" s="287" t="s">
        <v>1327</v>
      </c>
      <c r="C74" s="288"/>
      <c r="D74" s="288"/>
      <c r="E74" s="289"/>
      <c r="F74" s="290"/>
      <c r="G74" s="291"/>
      <c r="H74" s="291"/>
      <c r="I74" s="282"/>
      <c r="J74" s="282"/>
      <c r="K74" s="282"/>
      <c r="L74" s="282"/>
      <c r="M74" s="282"/>
      <c r="N74" s="295">
        <f>SUM(N75)</f>
        <v>2000</v>
      </c>
      <c r="O74" s="295"/>
      <c r="P74" s="295">
        <f>SUM(P75)</f>
        <v>2000</v>
      </c>
      <c r="Q74" s="296">
        <f>SUM(Q75)</f>
        <v>2000</v>
      </c>
      <c r="R74" s="296"/>
      <c r="S74" s="296"/>
      <c r="T74" s="296">
        <f>SUM(T75)</f>
        <v>0</v>
      </c>
      <c r="U74" s="296">
        <f>SUM(U75)</f>
        <v>0</v>
      </c>
      <c r="V74" s="292"/>
      <c r="W74" s="292"/>
      <c r="X74" s="292"/>
      <c r="Y74" s="292"/>
      <c r="Z74" s="297"/>
      <c r="AA74" s="297"/>
      <c r="AB74" s="297"/>
      <c r="AC74" s="297"/>
      <c r="AD74" s="297"/>
      <c r="AE74" s="297"/>
      <c r="AF74" s="297"/>
      <c r="AG74" s="292"/>
      <c r="AH74" s="240">
        <f aca="true" t="shared" si="24" ref="AH74:AH90">AI74+AL74</f>
        <v>0</v>
      </c>
      <c r="AI74" s="240">
        <f aca="true" t="shared" si="25" ref="AI74:AI90">SUM(AJ74:AK74)</f>
        <v>0</v>
      </c>
      <c r="AJ74" s="240">
        <f aca="true" t="shared" si="26" ref="AJ74:AJ90">W74-AF74-AG74</f>
        <v>0</v>
      </c>
      <c r="AK74" s="297"/>
      <c r="AL74" s="291"/>
      <c r="AM74" s="290"/>
      <c r="AN74" s="298"/>
    </row>
    <row r="75" spans="1:40" s="193" customFormat="1" ht="19.5" customHeight="1">
      <c r="A75" s="232"/>
      <c r="B75" s="299" t="s">
        <v>1328</v>
      </c>
      <c r="C75" s="250" t="s">
        <v>1053</v>
      </c>
      <c r="D75" s="230">
        <v>2012</v>
      </c>
      <c r="E75" s="300"/>
      <c r="F75" s="235">
        <v>104700</v>
      </c>
      <c r="G75" s="236">
        <v>78872</v>
      </c>
      <c r="H75" s="236">
        <v>78872</v>
      </c>
      <c r="I75" s="237">
        <f>K75+M75</f>
        <v>2000</v>
      </c>
      <c r="J75" s="238"/>
      <c r="K75" s="237">
        <v>2000</v>
      </c>
      <c r="L75" s="237"/>
      <c r="M75" s="237"/>
      <c r="N75" s="239">
        <f>Q75+R75+S75</f>
        <v>2000</v>
      </c>
      <c r="O75" s="239"/>
      <c r="P75" s="239">
        <f>SUM(Q75:S75)</f>
        <v>2000</v>
      </c>
      <c r="Q75" s="239">
        <v>2000</v>
      </c>
      <c r="R75" s="239"/>
      <c r="S75" s="239"/>
      <c r="T75" s="301"/>
      <c r="U75" s="235"/>
      <c r="V75" s="240">
        <f>W75+X75</f>
        <v>0</v>
      </c>
      <c r="W75" s="240"/>
      <c r="X75" s="240"/>
      <c r="Y75" s="240">
        <v>2000000000</v>
      </c>
      <c r="Z75" s="302"/>
      <c r="AA75" s="302"/>
      <c r="AB75" s="241">
        <f>Y75+Z75-AA75+X75</f>
        <v>2000000000</v>
      </c>
      <c r="AC75" s="242">
        <f>AD75+AE75+AF75</f>
        <v>2000000000</v>
      </c>
      <c r="AD75" s="240">
        <v>2000000000</v>
      </c>
      <c r="AE75" s="302"/>
      <c r="AF75" s="302"/>
      <c r="AG75" s="240"/>
      <c r="AH75" s="240">
        <f t="shared" si="24"/>
        <v>0</v>
      </c>
      <c r="AI75" s="240">
        <f t="shared" si="25"/>
        <v>0</v>
      </c>
      <c r="AJ75" s="240">
        <f t="shared" si="26"/>
        <v>0</v>
      </c>
      <c r="AK75" s="303"/>
      <c r="AL75" s="244"/>
      <c r="AM75" s="236">
        <f>AB75-AD75-AE75-AK75-AL75</f>
        <v>0</v>
      </c>
      <c r="AN75" s="185"/>
    </row>
    <row r="76" spans="1:40" s="310" customFormat="1" ht="19.5" customHeight="1">
      <c r="A76" s="304"/>
      <c r="B76" s="287" t="s">
        <v>1329</v>
      </c>
      <c r="C76" s="304"/>
      <c r="D76" s="304"/>
      <c r="E76" s="305"/>
      <c r="F76" s="306"/>
      <c r="G76" s="244"/>
      <c r="H76" s="244"/>
      <c r="I76" s="237"/>
      <c r="J76" s="237"/>
      <c r="K76" s="237"/>
      <c r="L76" s="237"/>
      <c r="M76" s="237"/>
      <c r="N76" s="295">
        <f>SUM(N77:N92)</f>
        <v>10810.629737</v>
      </c>
      <c r="O76" s="307"/>
      <c r="P76" s="295">
        <f>SUM(P77:P92)</f>
        <v>10810.629737</v>
      </c>
      <c r="Q76" s="295">
        <f>SUM(Q77:Q92)</f>
        <v>8431.445</v>
      </c>
      <c r="R76" s="295"/>
      <c r="S76" s="295">
        <f>SUM(S77:S92)</f>
        <v>2379.184737</v>
      </c>
      <c r="T76" s="307">
        <f>SUM(T77:T92)</f>
        <v>0</v>
      </c>
      <c r="U76" s="307">
        <f>SUM(U77:U92)</f>
        <v>0</v>
      </c>
      <c r="V76" s="240"/>
      <c r="W76" s="240"/>
      <c r="X76" s="240"/>
      <c r="Y76" s="240"/>
      <c r="Z76" s="308"/>
      <c r="AA76" s="308"/>
      <c r="AB76" s="241">
        <f>Y76+Z76-AA76</f>
        <v>0</v>
      </c>
      <c r="AC76" s="308"/>
      <c r="AD76" s="308"/>
      <c r="AE76" s="308"/>
      <c r="AF76" s="308"/>
      <c r="AG76" s="240"/>
      <c r="AH76" s="240">
        <f t="shared" si="24"/>
        <v>0</v>
      </c>
      <c r="AI76" s="240">
        <f t="shared" si="25"/>
        <v>0</v>
      </c>
      <c r="AJ76" s="240">
        <f t="shared" si="26"/>
        <v>0</v>
      </c>
      <c r="AK76" s="308"/>
      <c r="AL76" s="244"/>
      <c r="AM76" s="306"/>
      <c r="AN76" s="309"/>
    </row>
    <row r="77" spans="1:40" ht="19.5" customHeight="1">
      <c r="A77" s="230"/>
      <c r="B77" s="311" t="s">
        <v>1330</v>
      </c>
      <c r="C77" s="250"/>
      <c r="D77" s="250"/>
      <c r="E77" s="300"/>
      <c r="F77" s="235"/>
      <c r="G77" s="236"/>
      <c r="H77" s="236"/>
      <c r="I77" s="237"/>
      <c r="J77" s="238"/>
      <c r="K77" s="237"/>
      <c r="L77" s="237"/>
      <c r="M77" s="237"/>
      <c r="N77" s="239">
        <f aca="true" t="shared" si="27" ref="N77:N90">Q77+R77+S77</f>
        <v>217.176737</v>
      </c>
      <c r="O77" s="239"/>
      <c r="P77" s="239">
        <f>SUM(Q77:S77)</f>
        <v>217.176737</v>
      </c>
      <c r="Q77" s="239"/>
      <c r="R77" s="239"/>
      <c r="S77" s="239">
        <v>217.176737</v>
      </c>
      <c r="T77" s="301"/>
      <c r="U77" s="235"/>
      <c r="V77" s="240">
        <f aca="true" t="shared" si="28" ref="V77:V90">W77+X77</f>
        <v>217176737</v>
      </c>
      <c r="W77" s="240">
        <v>217176737</v>
      </c>
      <c r="X77" s="240"/>
      <c r="Y77" s="240"/>
      <c r="Z77" s="302"/>
      <c r="AA77" s="302"/>
      <c r="AB77" s="241">
        <f aca="true" t="shared" si="29" ref="AB77:AB90">Y77+Z77-AA77+X77</f>
        <v>0</v>
      </c>
      <c r="AC77" s="242">
        <f aca="true" t="shared" si="30" ref="AC77:AC90">AD77+AE77+AF77</f>
        <v>217176737</v>
      </c>
      <c r="AD77" s="312"/>
      <c r="AE77" s="302"/>
      <c r="AF77" s="302">
        <v>217176737</v>
      </c>
      <c r="AG77" s="240"/>
      <c r="AH77" s="240">
        <f t="shared" si="24"/>
        <v>0</v>
      </c>
      <c r="AI77" s="240">
        <f t="shared" si="25"/>
        <v>0</v>
      </c>
      <c r="AJ77" s="240">
        <f t="shared" si="26"/>
        <v>0</v>
      </c>
      <c r="AK77" s="302"/>
      <c r="AL77" s="244"/>
      <c r="AM77" s="236">
        <f aca="true" t="shared" si="31" ref="AM77:AM90">AB77-AD77-AE77-AK77-AL77</f>
        <v>0</v>
      </c>
      <c r="AN77" s="313"/>
    </row>
    <row r="78" spans="1:40" ht="19.5" customHeight="1">
      <c r="A78" s="230"/>
      <c r="B78" s="311" t="s">
        <v>1331</v>
      </c>
      <c r="C78" s="250"/>
      <c r="D78" s="250"/>
      <c r="E78" s="300"/>
      <c r="F78" s="235"/>
      <c r="G78" s="236"/>
      <c r="H78" s="236"/>
      <c r="I78" s="237"/>
      <c r="J78" s="238"/>
      <c r="K78" s="237"/>
      <c r="L78" s="237"/>
      <c r="M78" s="237"/>
      <c r="N78" s="239">
        <f t="shared" si="27"/>
        <v>204.408</v>
      </c>
      <c r="O78" s="239"/>
      <c r="P78" s="239">
        <f aca="true" t="shared" si="32" ref="P78:P92">SUM(Q78:S78)</f>
        <v>204.408</v>
      </c>
      <c r="Q78" s="239"/>
      <c r="R78" s="239"/>
      <c r="S78" s="239">
        <v>204.408</v>
      </c>
      <c r="T78" s="301"/>
      <c r="U78" s="235"/>
      <c r="V78" s="240">
        <f t="shared" si="28"/>
        <v>205026000</v>
      </c>
      <c r="W78" s="240">
        <v>205026000</v>
      </c>
      <c r="X78" s="240"/>
      <c r="Y78" s="240"/>
      <c r="Z78" s="302"/>
      <c r="AA78" s="302"/>
      <c r="AB78" s="241">
        <f t="shared" si="29"/>
        <v>0</v>
      </c>
      <c r="AC78" s="242">
        <f t="shared" si="30"/>
        <v>204408000</v>
      </c>
      <c r="AD78" s="312"/>
      <c r="AE78" s="302"/>
      <c r="AF78" s="302">
        <v>204408000</v>
      </c>
      <c r="AG78" s="240">
        <v>618000</v>
      </c>
      <c r="AH78" s="240">
        <f t="shared" si="24"/>
        <v>0</v>
      </c>
      <c r="AI78" s="240">
        <f t="shared" si="25"/>
        <v>0</v>
      </c>
      <c r="AJ78" s="240">
        <f t="shared" si="26"/>
        <v>0</v>
      </c>
      <c r="AK78" s="302"/>
      <c r="AL78" s="244"/>
      <c r="AM78" s="236">
        <f t="shared" si="31"/>
        <v>0</v>
      </c>
      <c r="AN78" s="313"/>
    </row>
    <row r="79" spans="1:40" ht="19.5" customHeight="1">
      <c r="A79" s="230"/>
      <c r="B79" s="311" t="s">
        <v>1332</v>
      </c>
      <c r="C79" s="250"/>
      <c r="D79" s="250"/>
      <c r="E79" s="300"/>
      <c r="F79" s="235"/>
      <c r="G79" s="236"/>
      <c r="H79" s="236"/>
      <c r="I79" s="237"/>
      <c r="J79" s="238"/>
      <c r="K79" s="237"/>
      <c r="L79" s="237"/>
      <c r="M79" s="237"/>
      <c r="N79" s="239">
        <f t="shared" si="27"/>
        <v>1296.603</v>
      </c>
      <c r="O79" s="239"/>
      <c r="P79" s="239">
        <f t="shared" si="32"/>
        <v>1296.603</v>
      </c>
      <c r="Q79" s="239"/>
      <c r="R79" s="239"/>
      <c r="S79" s="239">
        <v>1296.603</v>
      </c>
      <c r="T79" s="301"/>
      <c r="U79" s="235"/>
      <c r="V79" s="240">
        <f t="shared" si="28"/>
        <v>1466776700</v>
      </c>
      <c r="W79" s="240">
        <v>1466776700</v>
      </c>
      <c r="X79" s="240"/>
      <c r="Y79" s="240"/>
      <c r="Z79" s="302"/>
      <c r="AA79" s="302"/>
      <c r="AB79" s="241">
        <f t="shared" si="29"/>
        <v>0</v>
      </c>
      <c r="AC79" s="242">
        <f t="shared" si="30"/>
        <v>1296603000</v>
      </c>
      <c r="AD79" s="312"/>
      <c r="AE79" s="302"/>
      <c r="AF79" s="302">
        <v>1296603000</v>
      </c>
      <c r="AG79" s="240"/>
      <c r="AH79" s="240">
        <f t="shared" si="24"/>
        <v>170173700</v>
      </c>
      <c r="AI79" s="240">
        <f t="shared" si="25"/>
        <v>170173700</v>
      </c>
      <c r="AJ79" s="240">
        <f t="shared" si="26"/>
        <v>170173700</v>
      </c>
      <c r="AK79" s="302"/>
      <c r="AL79" s="244"/>
      <c r="AM79" s="236">
        <f t="shared" si="31"/>
        <v>0</v>
      </c>
      <c r="AN79" s="313"/>
    </row>
    <row r="80" spans="1:40" ht="19.5" customHeight="1">
      <c r="A80" s="230"/>
      <c r="B80" s="311" t="s">
        <v>1333</v>
      </c>
      <c r="C80" s="250"/>
      <c r="D80" s="250"/>
      <c r="E80" s="300"/>
      <c r="F80" s="235"/>
      <c r="G80" s="236"/>
      <c r="H80" s="236"/>
      <c r="I80" s="237"/>
      <c r="J80" s="238"/>
      <c r="K80" s="237"/>
      <c r="L80" s="237"/>
      <c r="M80" s="237"/>
      <c r="N80" s="239">
        <f t="shared" si="27"/>
        <v>400</v>
      </c>
      <c r="O80" s="239"/>
      <c r="P80" s="239">
        <f t="shared" si="32"/>
        <v>400</v>
      </c>
      <c r="Q80" s="239"/>
      <c r="R80" s="239"/>
      <c r="S80" s="239">
        <v>400</v>
      </c>
      <c r="T80" s="301"/>
      <c r="U80" s="235"/>
      <c r="V80" s="240">
        <f t="shared" si="28"/>
        <v>400000000</v>
      </c>
      <c r="W80" s="240">
        <v>400000000</v>
      </c>
      <c r="X80" s="240"/>
      <c r="Y80" s="240"/>
      <c r="Z80" s="302"/>
      <c r="AA80" s="302"/>
      <c r="AB80" s="241">
        <f t="shared" si="29"/>
        <v>0</v>
      </c>
      <c r="AC80" s="242">
        <f t="shared" si="30"/>
        <v>400000000</v>
      </c>
      <c r="AD80" s="312"/>
      <c r="AE80" s="302"/>
      <c r="AF80" s="302">
        <v>400000000</v>
      </c>
      <c r="AG80" s="240"/>
      <c r="AH80" s="240">
        <f t="shared" si="24"/>
        <v>0</v>
      </c>
      <c r="AI80" s="240">
        <f t="shared" si="25"/>
        <v>0</v>
      </c>
      <c r="AJ80" s="240">
        <f t="shared" si="26"/>
        <v>0</v>
      </c>
      <c r="AK80" s="302"/>
      <c r="AL80" s="244"/>
      <c r="AM80" s="236">
        <f t="shared" si="31"/>
        <v>0</v>
      </c>
      <c r="AN80" s="313"/>
    </row>
    <row r="81" spans="1:40" ht="19.5" customHeight="1">
      <c r="A81" s="230"/>
      <c r="B81" s="311" t="s">
        <v>1334</v>
      </c>
      <c r="C81" s="250"/>
      <c r="D81" s="250"/>
      <c r="E81" s="300"/>
      <c r="F81" s="235"/>
      <c r="G81" s="236"/>
      <c r="H81" s="236"/>
      <c r="I81" s="237"/>
      <c r="J81" s="238"/>
      <c r="K81" s="237"/>
      <c r="L81" s="237"/>
      <c r="M81" s="237"/>
      <c r="N81" s="239">
        <f t="shared" si="27"/>
        <v>200</v>
      </c>
      <c r="O81" s="239"/>
      <c r="P81" s="239">
        <f t="shared" si="32"/>
        <v>200</v>
      </c>
      <c r="Q81" s="239"/>
      <c r="R81" s="239"/>
      <c r="S81" s="239">
        <v>200</v>
      </c>
      <c r="T81" s="301"/>
      <c r="U81" s="235"/>
      <c r="V81" s="240">
        <f t="shared" si="28"/>
        <v>200000000</v>
      </c>
      <c r="W81" s="240">
        <v>200000000</v>
      </c>
      <c r="X81" s="240"/>
      <c r="Y81" s="240"/>
      <c r="Z81" s="302"/>
      <c r="AA81" s="302"/>
      <c r="AB81" s="241">
        <f t="shared" si="29"/>
        <v>0</v>
      </c>
      <c r="AC81" s="242">
        <f t="shared" si="30"/>
        <v>200000000</v>
      </c>
      <c r="AD81" s="312"/>
      <c r="AE81" s="302"/>
      <c r="AF81" s="302">
        <v>200000000</v>
      </c>
      <c r="AG81" s="240"/>
      <c r="AH81" s="240">
        <f t="shared" si="24"/>
        <v>0</v>
      </c>
      <c r="AI81" s="240">
        <f t="shared" si="25"/>
        <v>0</v>
      </c>
      <c r="AJ81" s="240">
        <f t="shared" si="26"/>
        <v>0</v>
      </c>
      <c r="AK81" s="302"/>
      <c r="AL81" s="244"/>
      <c r="AM81" s="236">
        <f t="shared" si="31"/>
        <v>0</v>
      </c>
      <c r="AN81" s="313"/>
    </row>
    <row r="82" spans="1:40" ht="19.5" customHeight="1">
      <c r="A82" s="230"/>
      <c r="B82" s="311" t="s">
        <v>1335</v>
      </c>
      <c r="C82" s="250"/>
      <c r="D82" s="250"/>
      <c r="E82" s="300"/>
      <c r="F82" s="235"/>
      <c r="G82" s="236"/>
      <c r="H82" s="236"/>
      <c r="I82" s="237"/>
      <c r="J82" s="238"/>
      <c r="K82" s="237"/>
      <c r="L82" s="237"/>
      <c r="M82" s="237"/>
      <c r="N82" s="239">
        <f t="shared" si="27"/>
        <v>29.44</v>
      </c>
      <c r="O82" s="239"/>
      <c r="P82" s="239">
        <f t="shared" si="32"/>
        <v>29.44</v>
      </c>
      <c r="Q82" s="239"/>
      <c r="R82" s="239"/>
      <c r="S82" s="239">
        <v>29.44</v>
      </c>
      <c r="T82" s="301"/>
      <c r="U82" s="235"/>
      <c r="V82" s="240">
        <f t="shared" si="28"/>
        <v>29440000</v>
      </c>
      <c r="W82" s="240">
        <v>29440000</v>
      </c>
      <c r="X82" s="240"/>
      <c r="Y82" s="240"/>
      <c r="Z82" s="302"/>
      <c r="AA82" s="302"/>
      <c r="AB82" s="241">
        <f t="shared" si="29"/>
        <v>0</v>
      </c>
      <c r="AC82" s="242">
        <f t="shared" si="30"/>
        <v>29440000</v>
      </c>
      <c r="AD82" s="312"/>
      <c r="AE82" s="302"/>
      <c r="AF82" s="302">
        <v>29440000</v>
      </c>
      <c r="AG82" s="240"/>
      <c r="AH82" s="240">
        <f t="shared" si="24"/>
        <v>0</v>
      </c>
      <c r="AI82" s="240">
        <f t="shared" si="25"/>
        <v>0</v>
      </c>
      <c r="AJ82" s="240">
        <f t="shared" si="26"/>
        <v>0</v>
      </c>
      <c r="AK82" s="302"/>
      <c r="AL82" s="244"/>
      <c r="AM82" s="236">
        <f t="shared" si="31"/>
        <v>0</v>
      </c>
      <c r="AN82" s="313"/>
    </row>
    <row r="83" spans="1:40" ht="19.5" customHeight="1">
      <c r="A83" s="230"/>
      <c r="B83" s="311" t="s">
        <v>1336</v>
      </c>
      <c r="C83" s="250"/>
      <c r="D83" s="250"/>
      <c r="E83" s="300"/>
      <c r="F83" s="235"/>
      <c r="G83" s="236"/>
      <c r="H83" s="236"/>
      <c r="I83" s="237"/>
      <c r="J83" s="238"/>
      <c r="K83" s="237"/>
      <c r="L83" s="237"/>
      <c r="M83" s="237"/>
      <c r="N83" s="239">
        <f t="shared" si="27"/>
        <v>31.557</v>
      </c>
      <c r="O83" s="239"/>
      <c r="P83" s="239">
        <f t="shared" si="32"/>
        <v>31.557</v>
      </c>
      <c r="Q83" s="239"/>
      <c r="R83" s="239"/>
      <c r="S83" s="239">
        <v>31.557</v>
      </c>
      <c r="T83" s="301"/>
      <c r="U83" s="235"/>
      <c r="V83" s="240">
        <f t="shared" si="28"/>
        <v>31557000</v>
      </c>
      <c r="W83" s="240">
        <v>31557000</v>
      </c>
      <c r="X83" s="240"/>
      <c r="Y83" s="240"/>
      <c r="Z83" s="302"/>
      <c r="AA83" s="302"/>
      <c r="AB83" s="241">
        <f t="shared" si="29"/>
        <v>0</v>
      </c>
      <c r="AC83" s="242">
        <f t="shared" si="30"/>
        <v>31557000</v>
      </c>
      <c r="AD83" s="312"/>
      <c r="AE83" s="302"/>
      <c r="AF83" s="302">
        <v>31557000</v>
      </c>
      <c r="AG83" s="240"/>
      <c r="AH83" s="240">
        <f t="shared" si="24"/>
        <v>0</v>
      </c>
      <c r="AI83" s="240">
        <f t="shared" si="25"/>
        <v>0</v>
      </c>
      <c r="AJ83" s="240">
        <f t="shared" si="26"/>
        <v>0</v>
      </c>
      <c r="AK83" s="302"/>
      <c r="AL83" s="244"/>
      <c r="AM83" s="236">
        <f t="shared" si="31"/>
        <v>0</v>
      </c>
      <c r="AN83" s="313"/>
    </row>
    <row r="84" spans="1:40" s="197" customFormat="1" ht="19.5" customHeight="1">
      <c r="A84" s="232"/>
      <c r="B84" s="314" t="s">
        <v>1337</v>
      </c>
      <c r="C84" s="315" t="s">
        <v>1260</v>
      </c>
      <c r="D84" s="315">
        <v>2012</v>
      </c>
      <c r="E84" s="316"/>
      <c r="F84" s="317">
        <v>8288</v>
      </c>
      <c r="G84" s="318">
        <v>8039</v>
      </c>
      <c r="H84" s="236">
        <v>6907</v>
      </c>
      <c r="I84" s="237">
        <f aca="true" t="shared" si="33" ref="I84:I90">K84+M84</f>
        <v>700</v>
      </c>
      <c r="J84" s="238"/>
      <c r="K84" s="237">
        <v>700</v>
      </c>
      <c r="L84" s="237"/>
      <c r="M84" s="237"/>
      <c r="N84" s="239"/>
      <c r="O84" s="239"/>
      <c r="P84" s="239"/>
      <c r="Q84" s="239"/>
      <c r="R84" s="239"/>
      <c r="S84" s="239"/>
      <c r="T84" s="301"/>
      <c r="U84" s="235"/>
      <c r="V84" s="240">
        <f t="shared" si="28"/>
        <v>0</v>
      </c>
      <c r="W84" s="240"/>
      <c r="X84" s="240"/>
      <c r="Y84" s="240">
        <v>700000000</v>
      </c>
      <c r="Z84" s="302"/>
      <c r="AA84" s="302"/>
      <c r="AB84" s="241">
        <f t="shared" si="29"/>
        <v>700000000</v>
      </c>
      <c r="AC84" s="242">
        <f t="shared" si="30"/>
        <v>0</v>
      </c>
      <c r="AD84" s="302"/>
      <c r="AE84" s="302"/>
      <c r="AF84" s="302"/>
      <c r="AG84" s="240"/>
      <c r="AH84" s="240">
        <f t="shared" si="24"/>
        <v>700000000</v>
      </c>
      <c r="AI84" s="240">
        <f t="shared" si="25"/>
        <v>0</v>
      </c>
      <c r="AJ84" s="240">
        <f t="shared" si="26"/>
        <v>0</v>
      </c>
      <c r="AK84" s="302"/>
      <c r="AL84" s="244">
        <v>700000000</v>
      </c>
      <c r="AM84" s="236">
        <f t="shared" si="31"/>
        <v>0</v>
      </c>
      <c r="AN84" s="196"/>
    </row>
    <row r="85" spans="1:40" s="321" customFormat="1" ht="19.5" customHeight="1">
      <c r="A85" s="230"/>
      <c r="B85" s="231" t="s">
        <v>1338</v>
      </c>
      <c r="C85" s="250" t="s">
        <v>1058</v>
      </c>
      <c r="D85" s="319" t="s">
        <v>1339</v>
      </c>
      <c r="E85" s="320"/>
      <c r="F85" s="235">
        <v>49000</v>
      </c>
      <c r="G85" s="236"/>
      <c r="H85" s="236"/>
      <c r="I85" s="237">
        <f t="shared" si="33"/>
        <v>1500</v>
      </c>
      <c r="J85" s="238"/>
      <c r="K85" s="237">
        <v>1500</v>
      </c>
      <c r="L85" s="237"/>
      <c r="M85" s="237"/>
      <c r="N85" s="239"/>
      <c r="O85" s="239"/>
      <c r="P85" s="239"/>
      <c r="Q85" s="239"/>
      <c r="R85" s="239"/>
      <c r="S85" s="239"/>
      <c r="T85" s="301"/>
      <c r="U85" s="235"/>
      <c r="V85" s="240">
        <f t="shared" si="28"/>
        <v>0</v>
      </c>
      <c r="W85" s="240"/>
      <c r="X85" s="240"/>
      <c r="Y85" s="240">
        <v>1500000000</v>
      </c>
      <c r="Z85" s="302"/>
      <c r="AA85" s="302"/>
      <c r="AB85" s="241">
        <f t="shared" si="29"/>
        <v>1500000000</v>
      </c>
      <c r="AC85" s="242">
        <f t="shared" si="30"/>
        <v>0</v>
      </c>
      <c r="AD85" s="302"/>
      <c r="AE85" s="302"/>
      <c r="AF85" s="302"/>
      <c r="AG85" s="240"/>
      <c r="AH85" s="240">
        <f t="shared" si="24"/>
        <v>1500000000</v>
      </c>
      <c r="AI85" s="240">
        <f t="shared" si="25"/>
        <v>0</v>
      </c>
      <c r="AJ85" s="240">
        <f t="shared" si="26"/>
        <v>0</v>
      </c>
      <c r="AK85" s="302"/>
      <c r="AL85" s="244">
        <v>1500000000</v>
      </c>
      <c r="AM85" s="236">
        <f t="shared" si="31"/>
        <v>0</v>
      </c>
      <c r="AN85" s="224"/>
    </row>
    <row r="86" spans="1:40" s="327" customFormat="1" ht="19.5" customHeight="1">
      <c r="A86" s="322"/>
      <c r="B86" s="323" t="s">
        <v>1340</v>
      </c>
      <c r="C86" s="315" t="s">
        <v>1341</v>
      </c>
      <c r="D86" s="230" t="s">
        <v>1342</v>
      </c>
      <c r="E86" s="300">
        <v>15.54</v>
      </c>
      <c r="F86" s="235">
        <v>28900</v>
      </c>
      <c r="G86" s="236">
        <v>8408</v>
      </c>
      <c r="H86" s="318">
        <v>6858</v>
      </c>
      <c r="I86" s="238">
        <f t="shared" si="33"/>
        <v>1550</v>
      </c>
      <c r="J86" s="324"/>
      <c r="K86" s="237">
        <v>1550</v>
      </c>
      <c r="L86" s="237"/>
      <c r="M86" s="237"/>
      <c r="N86" s="239">
        <f t="shared" si="27"/>
        <v>1550</v>
      </c>
      <c r="O86" s="239"/>
      <c r="P86" s="239">
        <f t="shared" si="32"/>
        <v>1550</v>
      </c>
      <c r="Q86" s="239">
        <v>1550</v>
      </c>
      <c r="R86" s="239"/>
      <c r="S86" s="239">
        <v>0</v>
      </c>
      <c r="T86" s="257"/>
      <c r="U86" s="254"/>
      <c r="V86" s="240">
        <f t="shared" si="28"/>
        <v>0</v>
      </c>
      <c r="W86" s="240"/>
      <c r="X86" s="240"/>
      <c r="Y86" s="240">
        <v>1550000000</v>
      </c>
      <c r="Z86" s="258"/>
      <c r="AA86" s="258"/>
      <c r="AB86" s="241">
        <f t="shared" si="29"/>
        <v>1550000000</v>
      </c>
      <c r="AC86" s="242">
        <f t="shared" si="30"/>
        <v>1550000000</v>
      </c>
      <c r="AD86" s="240">
        <v>1550000000</v>
      </c>
      <c r="AE86" s="258"/>
      <c r="AF86" s="258"/>
      <c r="AG86" s="240"/>
      <c r="AH86" s="240">
        <f t="shared" si="24"/>
        <v>0</v>
      </c>
      <c r="AI86" s="240">
        <f t="shared" si="25"/>
        <v>0</v>
      </c>
      <c r="AJ86" s="240">
        <f t="shared" si="26"/>
        <v>0</v>
      </c>
      <c r="AK86" s="325"/>
      <c r="AL86" s="244"/>
      <c r="AM86" s="236">
        <f t="shared" si="31"/>
        <v>0</v>
      </c>
      <c r="AN86" s="326"/>
    </row>
    <row r="87" spans="1:40" s="197" customFormat="1" ht="19.5" customHeight="1">
      <c r="A87" s="230"/>
      <c r="B87" s="314" t="s">
        <v>1343</v>
      </c>
      <c r="C87" s="315" t="s">
        <v>1341</v>
      </c>
      <c r="D87" s="315">
        <v>2009</v>
      </c>
      <c r="E87" s="316"/>
      <c r="F87" s="317">
        <v>21000</v>
      </c>
      <c r="G87" s="318">
        <v>19998</v>
      </c>
      <c r="H87" s="236">
        <v>18027</v>
      </c>
      <c r="I87" s="238">
        <f t="shared" si="33"/>
        <v>500</v>
      </c>
      <c r="J87" s="238"/>
      <c r="K87" s="237">
        <v>500</v>
      </c>
      <c r="L87" s="237"/>
      <c r="M87" s="237"/>
      <c r="N87" s="239">
        <f t="shared" si="27"/>
        <v>233.175</v>
      </c>
      <c r="O87" s="239"/>
      <c r="P87" s="239">
        <f t="shared" si="32"/>
        <v>233.175</v>
      </c>
      <c r="Q87" s="239">
        <v>233.175</v>
      </c>
      <c r="R87" s="239"/>
      <c r="S87" s="239">
        <v>0</v>
      </c>
      <c r="T87" s="301"/>
      <c r="U87" s="235"/>
      <c r="V87" s="240">
        <f t="shared" si="28"/>
        <v>0</v>
      </c>
      <c r="W87" s="240"/>
      <c r="X87" s="240"/>
      <c r="Y87" s="240">
        <v>500000000</v>
      </c>
      <c r="Z87" s="302"/>
      <c r="AA87" s="302">
        <v>266825000</v>
      </c>
      <c r="AB87" s="241">
        <f t="shared" si="29"/>
        <v>233175000</v>
      </c>
      <c r="AC87" s="242">
        <f t="shared" si="30"/>
        <v>233175000</v>
      </c>
      <c r="AD87" s="242">
        <v>233175000</v>
      </c>
      <c r="AE87" s="302"/>
      <c r="AF87" s="302"/>
      <c r="AG87" s="240"/>
      <c r="AH87" s="240">
        <f t="shared" si="24"/>
        <v>0</v>
      </c>
      <c r="AI87" s="240">
        <f t="shared" si="25"/>
        <v>0</v>
      </c>
      <c r="AJ87" s="240">
        <f t="shared" si="26"/>
        <v>0</v>
      </c>
      <c r="AK87" s="302"/>
      <c r="AL87" s="244"/>
      <c r="AM87" s="236">
        <f t="shared" si="31"/>
        <v>0</v>
      </c>
      <c r="AN87" s="196"/>
    </row>
    <row r="88" spans="1:40" s="262" customFormat="1" ht="28.5" customHeight="1">
      <c r="A88" s="322"/>
      <c r="B88" s="299" t="s">
        <v>1344</v>
      </c>
      <c r="C88" s="250" t="s">
        <v>1050</v>
      </c>
      <c r="D88" s="230">
        <v>2010</v>
      </c>
      <c r="E88" s="300"/>
      <c r="F88" s="235">
        <v>4200</v>
      </c>
      <c r="G88" s="236">
        <v>3960</v>
      </c>
      <c r="H88" s="236">
        <v>2340</v>
      </c>
      <c r="I88" s="238">
        <f t="shared" si="33"/>
        <v>1940</v>
      </c>
      <c r="J88" s="256"/>
      <c r="K88" s="237">
        <v>1940</v>
      </c>
      <c r="L88" s="237"/>
      <c r="M88" s="237"/>
      <c r="N88" s="239">
        <f t="shared" si="27"/>
        <v>1940</v>
      </c>
      <c r="O88" s="239"/>
      <c r="P88" s="242">
        <f t="shared" si="32"/>
        <v>1940</v>
      </c>
      <c r="Q88" s="242">
        <v>1940</v>
      </c>
      <c r="R88" s="242"/>
      <c r="S88" s="242">
        <v>0</v>
      </c>
      <c r="T88" s="257"/>
      <c r="U88" s="254"/>
      <c r="V88" s="240">
        <f t="shared" si="28"/>
        <v>0</v>
      </c>
      <c r="W88" s="240"/>
      <c r="X88" s="240"/>
      <c r="Y88" s="240">
        <v>1940000000</v>
      </c>
      <c r="Z88" s="258"/>
      <c r="AA88" s="258"/>
      <c r="AB88" s="241">
        <f t="shared" si="29"/>
        <v>1940000000</v>
      </c>
      <c r="AC88" s="242">
        <f t="shared" si="30"/>
        <v>1940000000</v>
      </c>
      <c r="AD88" s="240">
        <v>1940000000</v>
      </c>
      <c r="AE88" s="258"/>
      <c r="AF88" s="258"/>
      <c r="AG88" s="240"/>
      <c r="AH88" s="240">
        <f t="shared" si="24"/>
        <v>0</v>
      </c>
      <c r="AI88" s="240">
        <f t="shared" si="25"/>
        <v>0</v>
      </c>
      <c r="AJ88" s="240">
        <f t="shared" si="26"/>
        <v>0</v>
      </c>
      <c r="AK88" s="260"/>
      <c r="AL88" s="244"/>
      <c r="AM88" s="236">
        <f t="shared" si="31"/>
        <v>0</v>
      </c>
      <c r="AN88" s="261"/>
    </row>
    <row r="89" spans="1:40" s="262" customFormat="1" ht="19.5" customHeight="1">
      <c r="A89" s="252"/>
      <c r="B89" s="299" t="s">
        <v>1345</v>
      </c>
      <c r="C89" s="250" t="s">
        <v>1260</v>
      </c>
      <c r="D89" s="230">
        <v>2010</v>
      </c>
      <c r="E89" s="300"/>
      <c r="F89" s="235">
        <v>6037</v>
      </c>
      <c r="G89" s="236">
        <v>5856</v>
      </c>
      <c r="H89" s="236">
        <v>2239</v>
      </c>
      <c r="I89" s="238">
        <f t="shared" si="33"/>
        <v>2000</v>
      </c>
      <c r="J89" s="256"/>
      <c r="K89" s="237">
        <v>2000</v>
      </c>
      <c r="L89" s="237"/>
      <c r="M89" s="237"/>
      <c r="N89" s="239">
        <f t="shared" si="27"/>
        <v>2000</v>
      </c>
      <c r="O89" s="239"/>
      <c r="P89" s="242">
        <f t="shared" si="32"/>
        <v>2000</v>
      </c>
      <c r="Q89" s="242">
        <v>2000</v>
      </c>
      <c r="R89" s="242"/>
      <c r="S89" s="242">
        <v>0</v>
      </c>
      <c r="T89" s="257"/>
      <c r="U89" s="254"/>
      <c r="V89" s="240">
        <f t="shared" si="28"/>
        <v>0</v>
      </c>
      <c r="W89" s="240"/>
      <c r="X89" s="240"/>
      <c r="Y89" s="240">
        <v>2000000000</v>
      </c>
      <c r="Z89" s="258"/>
      <c r="AA89" s="258"/>
      <c r="AB89" s="241">
        <f t="shared" si="29"/>
        <v>2000000000</v>
      </c>
      <c r="AC89" s="242">
        <f t="shared" si="30"/>
        <v>2000000000</v>
      </c>
      <c r="AD89" s="242">
        <v>2000000000</v>
      </c>
      <c r="AE89" s="258"/>
      <c r="AF89" s="258"/>
      <c r="AG89" s="240"/>
      <c r="AH89" s="240">
        <f t="shared" si="24"/>
        <v>0</v>
      </c>
      <c r="AI89" s="240">
        <f t="shared" si="25"/>
        <v>0</v>
      </c>
      <c r="AJ89" s="240">
        <f t="shared" si="26"/>
        <v>0</v>
      </c>
      <c r="AK89" s="260"/>
      <c r="AL89" s="244"/>
      <c r="AM89" s="236">
        <f t="shared" si="31"/>
        <v>0</v>
      </c>
      <c r="AN89" s="261"/>
    </row>
    <row r="90" spans="1:40" s="328" customFormat="1" ht="30" customHeight="1">
      <c r="A90" s="252"/>
      <c r="B90" s="323" t="s">
        <v>1346</v>
      </c>
      <c r="C90" s="250"/>
      <c r="D90" s="230"/>
      <c r="E90" s="300"/>
      <c r="F90" s="235"/>
      <c r="G90" s="236"/>
      <c r="H90" s="318"/>
      <c r="I90" s="238">
        <f t="shared" si="33"/>
        <v>8.27</v>
      </c>
      <c r="J90" s="324"/>
      <c r="K90" s="237">
        <v>8.27</v>
      </c>
      <c r="L90" s="237"/>
      <c r="M90" s="237"/>
      <c r="N90" s="239">
        <f t="shared" si="27"/>
        <v>8.27</v>
      </c>
      <c r="O90" s="239"/>
      <c r="P90" s="239">
        <f t="shared" si="32"/>
        <v>8.27</v>
      </c>
      <c r="Q90" s="239">
        <v>8.27</v>
      </c>
      <c r="R90" s="239">
        <v>0</v>
      </c>
      <c r="S90" s="239">
        <v>0</v>
      </c>
      <c r="T90" s="257"/>
      <c r="U90" s="254"/>
      <c r="V90" s="240">
        <f t="shared" si="28"/>
        <v>0</v>
      </c>
      <c r="W90" s="240"/>
      <c r="X90" s="240"/>
      <c r="Y90" s="240">
        <v>8270000</v>
      </c>
      <c r="Z90" s="258"/>
      <c r="AA90" s="258"/>
      <c r="AB90" s="241">
        <f t="shared" si="29"/>
        <v>8270000</v>
      </c>
      <c r="AC90" s="242">
        <f t="shared" si="30"/>
        <v>8270000</v>
      </c>
      <c r="AD90" s="312">
        <v>8270000</v>
      </c>
      <c r="AE90" s="258"/>
      <c r="AF90" s="258"/>
      <c r="AG90" s="240"/>
      <c r="AH90" s="240">
        <f t="shared" si="24"/>
        <v>0</v>
      </c>
      <c r="AI90" s="240">
        <f t="shared" si="25"/>
        <v>0</v>
      </c>
      <c r="AJ90" s="240">
        <f t="shared" si="26"/>
        <v>0</v>
      </c>
      <c r="AK90" s="325"/>
      <c r="AL90" s="244"/>
      <c r="AM90" s="236">
        <f t="shared" si="31"/>
        <v>0</v>
      </c>
      <c r="AN90" s="313" t="s">
        <v>1347</v>
      </c>
    </row>
    <row r="91" spans="1:40" s="328" customFormat="1" ht="19.5" customHeight="1">
      <c r="A91" s="252"/>
      <c r="B91" s="323" t="s">
        <v>1348</v>
      </c>
      <c r="C91" s="250"/>
      <c r="D91" s="230"/>
      <c r="E91" s="300"/>
      <c r="F91" s="235"/>
      <c r="G91" s="236"/>
      <c r="H91" s="318"/>
      <c r="I91" s="238"/>
      <c r="J91" s="324"/>
      <c r="K91" s="237"/>
      <c r="L91" s="237"/>
      <c r="M91" s="237"/>
      <c r="N91" s="239">
        <v>1300</v>
      </c>
      <c r="O91" s="239"/>
      <c r="P91" s="242">
        <f t="shared" si="32"/>
        <v>1300</v>
      </c>
      <c r="Q91" s="242">
        <v>1300</v>
      </c>
      <c r="R91" s="239"/>
      <c r="S91" s="239"/>
      <c r="T91" s="257"/>
      <c r="U91" s="254"/>
      <c r="V91" s="240"/>
      <c r="W91" s="240"/>
      <c r="X91" s="240"/>
      <c r="Y91" s="240"/>
      <c r="Z91" s="258"/>
      <c r="AA91" s="258"/>
      <c r="AB91" s="241"/>
      <c r="AC91" s="242"/>
      <c r="AD91" s="312"/>
      <c r="AE91" s="258"/>
      <c r="AF91" s="258"/>
      <c r="AG91" s="240"/>
      <c r="AH91" s="240"/>
      <c r="AI91" s="240"/>
      <c r="AJ91" s="240"/>
      <c r="AK91" s="325"/>
      <c r="AL91" s="244"/>
      <c r="AM91" s="236"/>
      <c r="AN91" s="313"/>
    </row>
    <row r="92" spans="1:40" s="328" customFormat="1" ht="19.5" customHeight="1">
      <c r="A92" s="252"/>
      <c r="B92" s="323" t="s">
        <v>1349</v>
      </c>
      <c r="C92" s="250"/>
      <c r="D92" s="230"/>
      <c r="E92" s="300"/>
      <c r="F92" s="235"/>
      <c r="G92" s="236"/>
      <c r="H92" s="318"/>
      <c r="I92" s="238"/>
      <c r="J92" s="324"/>
      <c r="K92" s="237"/>
      <c r="L92" s="237"/>
      <c r="M92" s="237"/>
      <c r="N92" s="239">
        <v>1400</v>
      </c>
      <c r="O92" s="239"/>
      <c r="P92" s="242">
        <f t="shared" si="32"/>
        <v>1400</v>
      </c>
      <c r="Q92" s="242">
        <v>1400</v>
      </c>
      <c r="R92" s="239"/>
      <c r="S92" s="239"/>
      <c r="T92" s="257"/>
      <c r="U92" s="254"/>
      <c r="V92" s="240"/>
      <c r="W92" s="240"/>
      <c r="X92" s="240"/>
      <c r="Y92" s="240"/>
      <c r="Z92" s="258"/>
      <c r="AA92" s="258"/>
      <c r="AB92" s="241"/>
      <c r="AC92" s="242"/>
      <c r="AD92" s="312"/>
      <c r="AE92" s="258"/>
      <c r="AF92" s="258"/>
      <c r="AG92" s="240"/>
      <c r="AH92" s="240"/>
      <c r="AI92" s="240"/>
      <c r="AJ92" s="240"/>
      <c r="AK92" s="325"/>
      <c r="AL92" s="244"/>
      <c r="AM92" s="236"/>
      <c r="AN92" s="313"/>
    </row>
    <row r="93" spans="1:40" s="294" customFormat="1" ht="19.5" customHeight="1">
      <c r="A93" s="275" t="s">
        <v>1350</v>
      </c>
      <c r="B93" s="329" t="s">
        <v>1351</v>
      </c>
      <c r="C93" s="330"/>
      <c r="D93" s="330"/>
      <c r="E93" s="331"/>
      <c r="F93" s="332"/>
      <c r="G93" s="333"/>
      <c r="H93" s="291"/>
      <c r="I93" s="282">
        <f>SUM(I94:I104)</f>
        <v>15806.95</v>
      </c>
      <c r="J93" s="282">
        <f aca="true" t="shared" si="34" ref="J93:U93">SUM(J94:J104)</f>
        <v>0</v>
      </c>
      <c r="K93" s="282">
        <f t="shared" si="34"/>
        <v>15806.95</v>
      </c>
      <c r="L93" s="282">
        <f t="shared" si="34"/>
        <v>0</v>
      </c>
      <c r="M93" s="282">
        <f t="shared" si="34"/>
        <v>0</v>
      </c>
      <c r="N93" s="282">
        <f t="shared" si="34"/>
        <v>16359.149000000001</v>
      </c>
      <c r="O93" s="282">
        <f t="shared" si="34"/>
        <v>0</v>
      </c>
      <c r="P93" s="282">
        <f t="shared" si="34"/>
        <v>16359.149000000001</v>
      </c>
      <c r="Q93" s="282">
        <f t="shared" si="34"/>
        <v>14765.199</v>
      </c>
      <c r="R93" s="282">
        <f t="shared" si="34"/>
        <v>0</v>
      </c>
      <c r="S93" s="282">
        <f t="shared" si="34"/>
        <v>600</v>
      </c>
      <c r="T93" s="282">
        <f t="shared" si="34"/>
        <v>0</v>
      </c>
      <c r="U93" s="282">
        <f t="shared" si="34"/>
        <v>0</v>
      </c>
      <c r="V93" s="292">
        <f aca="true" t="shared" si="35" ref="V93:AM93">SUM(V94:V101)</f>
        <v>600000000</v>
      </c>
      <c r="W93" s="292">
        <f t="shared" si="35"/>
        <v>600000000</v>
      </c>
      <c r="X93" s="292">
        <f t="shared" si="35"/>
        <v>0</v>
      </c>
      <c r="Y93" s="292">
        <f t="shared" si="35"/>
        <v>14422000000</v>
      </c>
      <c r="Z93" s="292">
        <f t="shared" si="35"/>
        <v>100850000</v>
      </c>
      <c r="AA93" s="292">
        <f t="shared" si="35"/>
        <v>23063000</v>
      </c>
      <c r="AB93" s="292">
        <f t="shared" si="35"/>
        <v>14499787000</v>
      </c>
      <c r="AC93" s="292">
        <f t="shared" si="35"/>
        <v>14974199000</v>
      </c>
      <c r="AD93" s="292">
        <f t="shared" si="35"/>
        <v>14374199000</v>
      </c>
      <c r="AE93" s="292">
        <f t="shared" si="35"/>
        <v>0</v>
      </c>
      <c r="AF93" s="292">
        <f t="shared" si="35"/>
        <v>600000000</v>
      </c>
      <c r="AG93" s="292">
        <f t="shared" si="35"/>
        <v>0</v>
      </c>
      <c r="AH93" s="292">
        <f t="shared" si="35"/>
        <v>125588000</v>
      </c>
      <c r="AI93" s="292">
        <f t="shared" si="35"/>
        <v>23984000</v>
      </c>
      <c r="AJ93" s="292">
        <f t="shared" si="35"/>
        <v>0</v>
      </c>
      <c r="AK93" s="292">
        <f t="shared" si="35"/>
        <v>23984000</v>
      </c>
      <c r="AL93" s="291">
        <f t="shared" si="35"/>
        <v>101604000</v>
      </c>
      <c r="AM93" s="291">
        <f t="shared" si="35"/>
        <v>0</v>
      </c>
      <c r="AN93" s="298"/>
    </row>
    <row r="94" spans="1:40" ht="19.5" customHeight="1">
      <c r="A94" s="230"/>
      <c r="B94" s="311" t="s">
        <v>1352</v>
      </c>
      <c r="C94" s="250" t="s">
        <v>1353</v>
      </c>
      <c r="D94" s="250"/>
      <c r="E94" s="300"/>
      <c r="F94" s="235"/>
      <c r="G94" s="236"/>
      <c r="H94" s="236"/>
      <c r="I94" s="237">
        <f aca="true" t="shared" si="36" ref="I94:I104">K94+M94</f>
        <v>0</v>
      </c>
      <c r="J94" s="238"/>
      <c r="K94" s="237"/>
      <c r="L94" s="237"/>
      <c r="M94" s="237"/>
      <c r="N94" s="239">
        <f>SUM(P94,U94)</f>
        <v>600</v>
      </c>
      <c r="O94" s="239"/>
      <c r="P94" s="239">
        <f>SUM(Q94:S94)</f>
        <v>600</v>
      </c>
      <c r="Q94" s="239">
        <v>0</v>
      </c>
      <c r="R94" s="239"/>
      <c r="S94" s="239">
        <v>600</v>
      </c>
      <c r="T94" s="301"/>
      <c r="U94" s="235"/>
      <c r="V94" s="240">
        <f aca="true" t="shared" si="37" ref="V94:V101">W94+X94</f>
        <v>600000000</v>
      </c>
      <c r="W94" s="240">
        <v>600000000</v>
      </c>
      <c r="X94" s="240"/>
      <c r="Y94" s="240"/>
      <c r="Z94" s="302"/>
      <c r="AA94" s="302"/>
      <c r="AB94" s="241">
        <f aca="true" t="shared" si="38" ref="AB94:AB101">Y94+Z94-AA94+X94</f>
        <v>0</v>
      </c>
      <c r="AC94" s="242">
        <f aca="true" t="shared" si="39" ref="AC94:AC101">AD94+AE94+AF94</f>
        <v>600000000</v>
      </c>
      <c r="AD94" s="312"/>
      <c r="AE94" s="302"/>
      <c r="AF94" s="302">
        <v>600000000</v>
      </c>
      <c r="AG94" s="240"/>
      <c r="AH94" s="240">
        <f aca="true" t="shared" si="40" ref="AH94:AH101">AI94+AL94</f>
        <v>0</v>
      </c>
      <c r="AI94" s="240">
        <f aca="true" t="shared" si="41" ref="AI94:AI101">SUM(AJ94:AK94)</f>
        <v>0</v>
      </c>
      <c r="AJ94" s="240">
        <f aca="true" t="shared" si="42" ref="AJ94:AJ101">W94-AF94-AG94</f>
        <v>0</v>
      </c>
      <c r="AK94" s="302"/>
      <c r="AL94" s="244"/>
      <c r="AM94" s="236">
        <f aca="true" t="shared" si="43" ref="AM94:AM101">AB94-AD94-AE94-AK94-AL94</f>
        <v>0</v>
      </c>
      <c r="AN94" s="313"/>
    </row>
    <row r="95" spans="1:40" s="338" customFormat="1" ht="19.5" customHeight="1">
      <c r="A95" s="230"/>
      <c r="B95" s="314" t="s">
        <v>1354</v>
      </c>
      <c r="C95" s="334" t="s">
        <v>1355</v>
      </c>
      <c r="D95" s="334" t="s">
        <v>1356</v>
      </c>
      <c r="E95" s="335" t="s">
        <v>1357</v>
      </c>
      <c r="F95" s="317">
        <v>14977</v>
      </c>
      <c r="G95" s="318">
        <v>13816</v>
      </c>
      <c r="H95" s="236">
        <v>10602</v>
      </c>
      <c r="I95" s="237">
        <f t="shared" si="36"/>
        <v>2700</v>
      </c>
      <c r="J95" s="238"/>
      <c r="K95" s="237">
        <v>2700</v>
      </c>
      <c r="L95" s="237"/>
      <c r="M95" s="237"/>
      <c r="N95" s="239">
        <f aca="true" t="shared" si="44" ref="N95:N104">SUM(P95,U95)</f>
        <v>2700</v>
      </c>
      <c r="O95" s="239"/>
      <c r="P95" s="239">
        <f aca="true" t="shared" si="45" ref="P95:P101">SUM(Q95:S95)</f>
        <v>2700</v>
      </c>
      <c r="Q95" s="239">
        <v>2700</v>
      </c>
      <c r="R95" s="239"/>
      <c r="S95" s="239"/>
      <c r="T95" s="301"/>
      <c r="U95" s="235"/>
      <c r="V95" s="240">
        <f t="shared" si="37"/>
        <v>0</v>
      </c>
      <c r="W95" s="240"/>
      <c r="X95" s="240"/>
      <c r="Y95" s="240">
        <v>2700000000</v>
      </c>
      <c r="Z95" s="302"/>
      <c r="AA95" s="302"/>
      <c r="AB95" s="241">
        <f t="shared" si="38"/>
        <v>2700000000</v>
      </c>
      <c r="AC95" s="242">
        <f t="shared" si="39"/>
        <v>2700000000</v>
      </c>
      <c r="AD95" s="242">
        <v>2700000000</v>
      </c>
      <c r="AE95" s="302"/>
      <c r="AF95" s="302"/>
      <c r="AG95" s="240"/>
      <c r="AH95" s="240">
        <f t="shared" si="40"/>
        <v>0</v>
      </c>
      <c r="AI95" s="240">
        <f t="shared" si="41"/>
        <v>0</v>
      </c>
      <c r="AJ95" s="240">
        <f t="shared" si="42"/>
        <v>0</v>
      </c>
      <c r="AK95" s="336"/>
      <c r="AL95" s="244"/>
      <c r="AM95" s="236">
        <f t="shared" si="43"/>
        <v>0</v>
      </c>
      <c r="AN95" s="337"/>
    </row>
    <row r="96" spans="1:40" s="340" customFormat="1" ht="19.5" customHeight="1">
      <c r="A96" s="252"/>
      <c r="B96" s="314" t="s">
        <v>1358</v>
      </c>
      <c r="C96" s="334" t="s">
        <v>1359</v>
      </c>
      <c r="D96" s="334">
        <v>2012</v>
      </c>
      <c r="E96" s="335"/>
      <c r="F96" s="317">
        <v>5387</v>
      </c>
      <c r="G96" s="318">
        <v>4665</v>
      </c>
      <c r="H96" s="236">
        <v>1600</v>
      </c>
      <c r="I96" s="237">
        <f t="shared" si="36"/>
        <v>1310</v>
      </c>
      <c r="J96" s="256"/>
      <c r="K96" s="237">
        <v>1310</v>
      </c>
      <c r="L96" s="237"/>
      <c r="M96" s="237"/>
      <c r="N96" s="239">
        <f t="shared" si="44"/>
        <v>1310</v>
      </c>
      <c r="O96" s="239"/>
      <c r="P96" s="239">
        <f t="shared" si="45"/>
        <v>1310</v>
      </c>
      <c r="Q96" s="239">
        <v>1310</v>
      </c>
      <c r="R96" s="239"/>
      <c r="S96" s="239"/>
      <c r="T96" s="257"/>
      <c r="U96" s="254"/>
      <c r="V96" s="240">
        <f t="shared" si="37"/>
        <v>0</v>
      </c>
      <c r="W96" s="240"/>
      <c r="X96" s="240"/>
      <c r="Y96" s="240">
        <v>1310000000</v>
      </c>
      <c r="Z96" s="258"/>
      <c r="AA96" s="258"/>
      <c r="AB96" s="241">
        <f t="shared" si="38"/>
        <v>1310000000</v>
      </c>
      <c r="AC96" s="242">
        <f t="shared" si="39"/>
        <v>1310000000</v>
      </c>
      <c r="AD96" s="240">
        <v>1310000000</v>
      </c>
      <c r="AE96" s="258"/>
      <c r="AF96" s="258"/>
      <c r="AG96" s="240"/>
      <c r="AH96" s="240">
        <f t="shared" si="40"/>
        <v>0</v>
      </c>
      <c r="AI96" s="240">
        <f t="shared" si="41"/>
        <v>0</v>
      </c>
      <c r="AJ96" s="240">
        <f t="shared" si="42"/>
        <v>0</v>
      </c>
      <c r="AK96" s="325"/>
      <c r="AL96" s="244"/>
      <c r="AM96" s="236">
        <f t="shared" si="43"/>
        <v>0</v>
      </c>
      <c r="AN96" s="339"/>
    </row>
    <row r="97" spans="1:40" s="338" customFormat="1" ht="19.5" customHeight="1">
      <c r="A97" s="230"/>
      <c r="B97" s="314" t="s">
        <v>1360</v>
      </c>
      <c r="C97" s="334" t="s">
        <v>1054</v>
      </c>
      <c r="D97" s="334">
        <v>2012</v>
      </c>
      <c r="E97" s="335"/>
      <c r="F97" s="317">
        <v>28550</v>
      </c>
      <c r="G97" s="318">
        <v>3500</v>
      </c>
      <c r="H97" s="236">
        <v>2000</v>
      </c>
      <c r="I97" s="237">
        <f t="shared" si="36"/>
        <v>3000</v>
      </c>
      <c r="J97" s="238"/>
      <c r="K97" s="237">
        <v>3000</v>
      </c>
      <c r="L97" s="237"/>
      <c r="M97" s="237"/>
      <c r="N97" s="239">
        <f t="shared" si="44"/>
        <v>3000</v>
      </c>
      <c r="O97" s="239"/>
      <c r="P97" s="239">
        <f t="shared" si="45"/>
        <v>3000</v>
      </c>
      <c r="Q97" s="239">
        <v>3000</v>
      </c>
      <c r="R97" s="239"/>
      <c r="S97" s="239"/>
      <c r="T97" s="301"/>
      <c r="U97" s="235"/>
      <c r="V97" s="240">
        <f t="shared" si="37"/>
        <v>0</v>
      </c>
      <c r="W97" s="240"/>
      <c r="X97" s="240"/>
      <c r="Y97" s="240">
        <v>3000000000</v>
      </c>
      <c r="Z97" s="302"/>
      <c r="AA97" s="302"/>
      <c r="AB97" s="241">
        <f t="shared" si="38"/>
        <v>3000000000</v>
      </c>
      <c r="AC97" s="242">
        <f t="shared" si="39"/>
        <v>3000000000</v>
      </c>
      <c r="AD97" s="240">
        <v>3000000000</v>
      </c>
      <c r="AE97" s="302"/>
      <c r="AF97" s="302"/>
      <c r="AG97" s="240"/>
      <c r="AH97" s="240">
        <f t="shared" si="40"/>
        <v>0</v>
      </c>
      <c r="AI97" s="240">
        <f t="shared" si="41"/>
        <v>0</v>
      </c>
      <c r="AJ97" s="240">
        <f t="shared" si="42"/>
        <v>0</v>
      </c>
      <c r="AK97" s="336"/>
      <c r="AL97" s="244"/>
      <c r="AM97" s="236">
        <f t="shared" si="43"/>
        <v>0</v>
      </c>
      <c r="AN97" s="245"/>
    </row>
    <row r="98" spans="1:40" s="340" customFormat="1" ht="19.5" customHeight="1">
      <c r="A98" s="252"/>
      <c r="B98" s="314" t="s">
        <v>1361</v>
      </c>
      <c r="C98" s="334" t="s">
        <v>1355</v>
      </c>
      <c r="D98" s="334" t="s">
        <v>1362</v>
      </c>
      <c r="E98" s="335" t="s">
        <v>1363</v>
      </c>
      <c r="F98" s="317">
        <v>9800</v>
      </c>
      <c r="G98" s="318">
        <v>9800</v>
      </c>
      <c r="H98" s="236">
        <v>4300</v>
      </c>
      <c r="I98" s="237">
        <f t="shared" si="36"/>
        <v>1500</v>
      </c>
      <c r="J98" s="256"/>
      <c r="K98" s="237">
        <v>1500</v>
      </c>
      <c r="L98" s="237"/>
      <c r="M98" s="237"/>
      <c r="N98" s="239">
        <f t="shared" si="44"/>
        <v>1475.262</v>
      </c>
      <c r="O98" s="239"/>
      <c r="P98" s="239">
        <f t="shared" si="45"/>
        <v>1475.262</v>
      </c>
      <c r="Q98" s="239">
        <v>1475.262</v>
      </c>
      <c r="R98" s="239"/>
      <c r="S98" s="239"/>
      <c r="T98" s="257"/>
      <c r="U98" s="254"/>
      <c r="V98" s="240">
        <f t="shared" si="37"/>
        <v>0</v>
      </c>
      <c r="W98" s="240"/>
      <c r="X98" s="240"/>
      <c r="Y98" s="240">
        <v>1500000000</v>
      </c>
      <c r="Z98" s="258">
        <v>100850000</v>
      </c>
      <c r="AA98" s="258"/>
      <c r="AB98" s="241">
        <f t="shared" si="38"/>
        <v>1600850000</v>
      </c>
      <c r="AC98" s="242">
        <f t="shared" si="39"/>
        <v>1475262000</v>
      </c>
      <c r="AD98" s="242">
        <v>1475262000</v>
      </c>
      <c r="AE98" s="258"/>
      <c r="AF98" s="258"/>
      <c r="AG98" s="240"/>
      <c r="AH98" s="240">
        <f t="shared" si="40"/>
        <v>125588000</v>
      </c>
      <c r="AI98" s="240">
        <f t="shared" si="41"/>
        <v>23984000</v>
      </c>
      <c r="AJ98" s="240">
        <f t="shared" si="42"/>
        <v>0</v>
      </c>
      <c r="AK98" s="341">
        <v>23984000</v>
      </c>
      <c r="AL98" s="244">
        <v>101604000</v>
      </c>
      <c r="AM98" s="236">
        <f t="shared" si="43"/>
        <v>0</v>
      </c>
      <c r="AN98" s="339"/>
    </row>
    <row r="99" spans="1:40" s="340" customFormat="1" ht="19.5" customHeight="1">
      <c r="A99" s="252"/>
      <c r="B99" s="314" t="s">
        <v>1364</v>
      </c>
      <c r="C99" s="334" t="s">
        <v>1355</v>
      </c>
      <c r="D99" s="334" t="s">
        <v>1362</v>
      </c>
      <c r="E99" s="335"/>
      <c r="F99" s="317">
        <v>7500</v>
      </c>
      <c r="G99" s="318">
        <v>3984</v>
      </c>
      <c r="H99" s="236">
        <v>3500</v>
      </c>
      <c r="I99" s="237">
        <f t="shared" si="36"/>
        <v>1452</v>
      </c>
      <c r="J99" s="256"/>
      <c r="K99" s="237">
        <v>1452</v>
      </c>
      <c r="L99" s="237"/>
      <c r="M99" s="237"/>
      <c r="N99" s="239">
        <f t="shared" si="44"/>
        <v>1452</v>
      </c>
      <c r="O99" s="239"/>
      <c r="P99" s="239">
        <f t="shared" si="45"/>
        <v>1452</v>
      </c>
      <c r="Q99" s="239">
        <v>1452</v>
      </c>
      <c r="R99" s="239"/>
      <c r="S99" s="239"/>
      <c r="T99" s="257"/>
      <c r="U99" s="254"/>
      <c r="V99" s="240">
        <f t="shared" si="37"/>
        <v>0</v>
      </c>
      <c r="W99" s="240"/>
      <c r="X99" s="240"/>
      <c r="Y99" s="240">
        <v>1452000000</v>
      </c>
      <c r="Z99" s="258"/>
      <c r="AA99" s="258"/>
      <c r="AB99" s="241">
        <f t="shared" si="38"/>
        <v>1452000000</v>
      </c>
      <c r="AC99" s="242">
        <f t="shared" si="39"/>
        <v>1452000000</v>
      </c>
      <c r="AD99" s="240">
        <v>1452000000</v>
      </c>
      <c r="AE99" s="258"/>
      <c r="AF99" s="258"/>
      <c r="AG99" s="240"/>
      <c r="AH99" s="240">
        <f t="shared" si="40"/>
        <v>0</v>
      </c>
      <c r="AI99" s="240">
        <f t="shared" si="41"/>
        <v>0</v>
      </c>
      <c r="AJ99" s="240">
        <f t="shared" si="42"/>
        <v>0</v>
      </c>
      <c r="AK99" s="325"/>
      <c r="AL99" s="244"/>
      <c r="AM99" s="236">
        <f t="shared" si="43"/>
        <v>0</v>
      </c>
      <c r="AN99" s="339"/>
    </row>
    <row r="100" spans="1:40" s="338" customFormat="1" ht="19.5" customHeight="1">
      <c r="A100" s="230"/>
      <c r="B100" s="314" t="s">
        <v>1365</v>
      </c>
      <c r="C100" s="334" t="s">
        <v>1366</v>
      </c>
      <c r="D100" s="334">
        <v>2011</v>
      </c>
      <c r="E100" s="335"/>
      <c r="F100" s="317">
        <v>6721</v>
      </c>
      <c r="G100" s="318">
        <v>6370</v>
      </c>
      <c r="H100" s="236">
        <v>3700</v>
      </c>
      <c r="I100" s="237">
        <f t="shared" si="36"/>
        <v>1260</v>
      </c>
      <c r="J100" s="238"/>
      <c r="K100" s="237">
        <v>1260</v>
      </c>
      <c r="L100" s="237"/>
      <c r="M100" s="237"/>
      <c r="N100" s="239">
        <f t="shared" si="44"/>
        <v>1236.937</v>
      </c>
      <c r="O100" s="239"/>
      <c r="P100" s="239">
        <f t="shared" si="45"/>
        <v>1236.937</v>
      </c>
      <c r="Q100" s="239">
        <v>1236.937</v>
      </c>
      <c r="R100" s="239"/>
      <c r="S100" s="239"/>
      <c r="T100" s="301"/>
      <c r="U100" s="235"/>
      <c r="V100" s="240">
        <f t="shared" si="37"/>
        <v>0</v>
      </c>
      <c r="W100" s="240"/>
      <c r="X100" s="240"/>
      <c r="Y100" s="240">
        <v>1260000000</v>
      </c>
      <c r="Z100" s="302"/>
      <c r="AA100" s="302">
        <v>23063000</v>
      </c>
      <c r="AB100" s="241">
        <f t="shared" si="38"/>
        <v>1236937000</v>
      </c>
      <c r="AC100" s="242">
        <f t="shared" si="39"/>
        <v>1236937000</v>
      </c>
      <c r="AD100" s="242">
        <v>1236937000</v>
      </c>
      <c r="AE100" s="302"/>
      <c r="AF100" s="302"/>
      <c r="AG100" s="240"/>
      <c r="AH100" s="240">
        <f t="shared" si="40"/>
        <v>0</v>
      </c>
      <c r="AI100" s="240">
        <f t="shared" si="41"/>
        <v>0</v>
      </c>
      <c r="AJ100" s="240">
        <f t="shared" si="42"/>
        <v>0</v>
      </c>
      <c r="AK100" s="336"/>
      <c r="AL100" s="244"/>
      <c r="AM100" s="236">
        <f t="shared" si="43"/>
        <v>0</v>
      </c>
      <c r="AN100" s="245"/>
    </row>
    <row r="101" spans="1:40" s="340" customFormat="1" ht="19.5" customHeight="1">
      <c r="A101" s="252"/>
      <c r="B101" s="314" t="s">
        <v>1367</v>
      </c>
      <c r="C101" s="334" t="s">
        <v>1368</v>
      </c>
      <c r="D101" s="334" t="s">
        <v>1369</v>
      </c>
      <c r="E101" s="335"/>
      <c r="F101" s="317">
        <v>10166</v>
      </c>
      <c r="G101" s="318">
        <v>9861</v>
      </c>
      <c r="H101" s="236">
        <v>6603</v>
      </c>
      <c r="I101" s="237">
        <f t="shared" si="36"/>
        <v>3200</v>
      </c>
      <c r="J101" s="256"/>
      <c r="K101" s="237">
        <v>3200</v>
      </c>
      <c r="L101" s="237"/>
      <c r="M101" s="237"/>
      <c r="N101" s="239">
        <f t="shared" si="44"/>
        <v>3200</v>
      </c>
      <c r="O101" s="239"/>
      <c r="P101" s="239">
        <f t="shared" si="45"/>
        <v>3200</v>
      </c>
      <c r="Q101" s="239">
        <v>3200</v>
      </c>
      <c r="R101" s="239"/>
      <c r="S101" s="239"/>
      <c r="T101" s="257"/>
      <c r="U101" s="254"/>
      <c r="V101" s="240">
        <f t="shared" si="37"/>
        <v>0</v>
      </c>
      <c r="W101" s="240"/>
      <c r="X101" s="240"/>
      <c r="Y101" s="240">
        <v>3200000000</v>
      </c>
      <c r="Z101" s="258"/>
      <c r="AA101" s="258"/>
      <c r="AB101" s="241">
        <f t="shared" si="38"/>
        <v>3200000000</v>
      </c>
      <c r="AC101" s="242">
        <f t="shared" si="39"/>
        <v>3200000000</v>
      </c>
      <c r="AD101" s="240">
        <v>3200000000</v>
      </c>
      <c r="AE101" s="258"/>
      <c r="AF101" s="258"/>
      <c r="AG101" s="240"/>
      <c r="AH101" s="240">
        <f t="shared" si="40"/>
        <v>0</v>
      </c>
      <c r="AI101" s="240">
        <f t="shared" si="41"/>
        <v>0</v>
      </c>
      <c r="AJ101" s="240">
        <f t="shared" si="42"/>
        <v>0</v>
      </c>
      <c r="AK101" s="325"/>
      <c r="AL101" s="244"/>
      <c r="AM101" s="236">
        <f t="shared" si="43"/>
        <v>0</v>
      </c>
      <c r="AN101" s="339"/>
    </row>
    <row r="102" spans="1:40" s="340" customFormat="1" ht="19.5" customHeight="1">
      <c r="A102" s="252"/>
      <c r="B102" s="314" t="s">
        <v>1370</v>
      </c>
      <c r="C102" s="334" t="s">
        <v>1371</v>
      </c>
      <c r="D102" s="334"/>
      <c r="E102" s="335"/>
      <c r="F102" s="317"/>
      <c r="G102" s="318"/>
      <c r="H102" s="236"/>
      <c r="I102" s="237">
        <f t="shared" si="36"/>
        <v>391.85</v>
      </c>
      <c r="J102" s="256"/>
      <c r="K102" s="237">
        <v>391.85</v>
      </c>
      <c r="L102" s="237"/>
      <c r="M102" s="237"/>
      <c r="N102" s="239">
        <f t="shared" si="44"/>
        <v>391.85</v>
      </c>
      <c r="O102" s="239"/>
      <c r="P102" s="239">
        <v>391.85</v>
      </c>
      <c r="Q102" s="239">
        <v>391</v>
      </c>
      <c r="R102" s="239"/>
      <c r="S102" s="239"/>
      <c r="T102" s="257"/>
      <c r="U102" s="254"/>
      <c r="V102" s="240"/>
      <c r="W102" s="240"/>
      <c r="X102" s="240"/>
      <c r="Y102" s="240"/>
      <c r="Z102" s="258"/>
      <c r="AA102" s="258"/>
      <c r="AB102" s="241"/>
      <c r="AC102" s="242"/>
      <c r="AD102" s="240"/>
      <c r="AE102" s="258"/>
      <c r="AF102" s="258"/>
      <c r="AG102" s="240"/>
      <c r="AH102" s="240"/>
      <c r="AI102" s="240"/>
      <c r="AJ102" s="240"/>
      <c r="AK102" s="325"/>
      <c r="AL102" s="244"/>
      <c r="AM102" s="236"/>
      <c r="AN102" s="339"/>
    </row>
    <row r="103" spans="1:40" s="340" customFormat="1" ht="19.5" customHeight="1">
      <c r="A103" s="252"/>
      <c r="B103" s="314" t="s">
        <v>1372</v>
      </c>
      <c r="C103" s="334" t="s">
        <v>1267</v>
      </c>
      <c r="D103" s="334"/>
      <c r="E103" s="335"/>
      <c r="F103" s="317"/>
      <c r="G103" s="318"/>
      <c r="H103" s="236"/>
      <c r="I103" s="237">
        <f t="shared" si="36"/>
        <v>500</v>
      </c>
      <c r="J103" s="256"/>
      <c r="K103" s="237">
        <v>500</v>
      </c>
      <c r="L103" s="237"/>
      <c r="M103" s="237"/>
      <c r="N103" s="239">
        <f t="shared" si="44"/>
        <v>500</v>
      </c>
      <c r="O103" s="239"/>
      <c r="P103" s="239">
        <v>500</v>
      </c>
      <c r="Q103" s="239"/>
      <c r="R103" s="239"/>
      <c r="S103" s="239"/>
      <c r="T103" s="257"/>
      <c r="U103" s="254"/>
      <c r="V103" s="240"/>
      <c r="W103" s="240"/>
      <c r="X103" s="240"/>
      <c r="Y103" s="240"/>
      <c r="Z103" s="258"/>
      <c r="AA103" s="258"/>
      <c r="AB103" s="241"/>
      <c r="AC103" s="242"/>
      <c r="AD103" s="240"/>
      <c r="AE103" s="258"/>
      <c r="AF103" s="258"/>
      <c r="AG103" s="240"/>
      <c r="AH103" s="240"/>
      <c r="AI103" s="240"/>
      <c r="AJ103" s="240"/>
      <c r="AK103" s="325"/>
      <c r="AL103" s="244"/>
      <c r="AM103" s="236"/>
      <c r="AN103" s="339"/>
    </row>
    <row r="104" spans="1:40" s="340" customFormat="1" ht="19.5" customHeight="1">
      <c r="A104" s="252"/>
      <c r="B104" s="314" t="s">
        <v>1373</v>
      </c>
      <c r="C104" s="334" t="s">
        <v>1267</v>
      </c>
      <c r="D104" s="334"/>
      <c r="E104" s="335"/>
      <c r="F104" s="317"/>
      <c r="G104" s="318"/>
      <c r="H104" s="236"/>
      <c r="I104" s="237">
        <f t="shared" si="36"/>
        <v>493.1</v>
      </c>
      <c r="J104" s="256"/>
      <c r="K104" s="237">
        <v>493.1</v>
      </c>
      <c r="L104" s="237"/>
      <c r="M104" s="237"/>
      <c r="N104" s="239">
        <f t="shared" si="44"/>
        <v>493.1</v>
      </c>
      <c r="O104" s="239"/>
      <c r="P104" s="239">
        <v>493.1</v>
      </c>
      <c r="Q104" s="239"/>
      <c r="R104" s="239"/>
      <c r="S104" s="239"/>
      <c r="T104" s="257"/>
      <c r="U104" s="254"/>
      <c r="V104" s="240"/>
      <c r="W104" s="240"/>
      <c r="X104" s="240"/>
      <c r="Y104" s="240"/>
      <c r="Z104" s="258"/>
      <c r="AA104" s="258"/>
      <c r="AB104" s="241"/>
      <c r="AC104" s="242"/>
      <c r="AD104" s="240"/>
      <c r="AE104" s="258"/>
      <c r="AF104" s="258"/>
      <c r="AG104" s="240"/>
      <c r="AH104" s="240"/>
      <c r="AI104" s="240"/>
      <c r="AJ104" s="240"/>
      <c r="AK104" s="325"/>
      <c r="AL104" s="244"/>
      <c r="AM104" s="236"/>
      <c r="AN104" s="339"/>
    </row>
    <row r="105" spans="1:40" s="345" customFormat="1" ht="19.5" customHeight="1">
      <c r="A105" s="218" t="s">
        <v>1374</v>
      </c>
      <c r="B105" s="217" t="s">
        <v>1375</v>
      </c>
      <c r="C105" s="342"/>
      <c r="D105" s="342"/>
      <c r="E105" s="343"/>
      <c r="F105" s="344"/>
      <c r="G105" s="344"/>
      <c r="H105" s="344"/>
      <c r="I105" s="223">
        <f>SUM(I106,I109)</f>
        <v>39266.06999999999</v>
      </c>
      <c r="J105" s="223">
        <f aca="true" t="shared" si="46" ref="J105:U105">SUM(J106,J109)</f>
        <v>0</v>
      </c>
      <c r="K105" s="223">
        <f t="shared" si="46"/>
        <v>39266.06999999999</v>
      </c>
      <c r="L105" s="222">
        <f t="shared" si="46"/>
        <v>0</v>
      </c>
      <c r="M105" s="222">
        <f t="shared" si="46"/>
        <v>0</v>
      </c>
      <c r="N105" s="222">
        <f t="shared" si="46"/>
        <v>41261.254449</v>
      </c>
      <c r="O105" s="222">
        <f t="shared" si="46"/>
        <v>0</v>
      </c>
      <c r="P105" s="222">
        <f t="shared" si="46"/>
        <v>41261.254449</v>
      </c>
      <c r="Q105" s="222">
        <f t="shared" si="46"/>
        <v>40580.42644899999</v>
      </c>
      <c r="R105" s="222">
        <f t="shared" si="46"/>
        <v>29.828</v>
      </c>
      <c r="S105" s="222">
        <f t="shared" si="46"/>
        <v>651</v>
      </c>
      <c r="T105" s="222">
        <f t="shared" si="46"/>
        <v>0</v>
      </c>
      <c r="U105" s="222">
        <f t="shared" si="46"/>
        <v>0</v>
      </c>
      <c r="V105" s="223">
        <f aca="true" t="shared" si="47" ref="V105:AM105">SUM(V106:V140)</f>
        <v>105828000</v>
      </c>
      <c r="W105" s="223">
        <f t="shared" si="47"/>
        <v>51000000</v>
      </c>
      <c r="X105" s="223">
        <f t="shared" si="47"/>
        <v>54828000</v>
      </c>
      <c r="Y105" s="223">
        <f t="shared" si="47"/>
        <v>39208000000</v>
      </c>
      <c r="Z105" s="223">
        <f t="shared" si="47"/>
        <v>79700000</v>
      </c>
      <c r="AA105" s="223">
        <f t="shared" si="47"/>
        <v>838487000</v>
      </c>
      <c r="AB105" s="223">
        <f t="shared" si="47"/>
        <v>38504041000</v>
      </c>
      <c r="AC105" s="223">
        <f t="shared" si="47"/>
        <v>36978187449</v>
      </c>
      <c r="AD105" s="223">
        <f t="shared" si="47"/>
        <v>36897359449</v>
      </c>
      <c r="AE105" s="223">
        <f t="shared" si="47"/>
        <v>29828000</v>
      </c>
      <c r="AF105" s="223">
        <f t="shared" si="47"/>
        <v>51000000</v>
      </c>
      <c r="AG105" s="223">
        <f t="shared" si="47"/>
        <v>0</v>
      </c>
      <c r="AH105" s="223">
        <f t="shared" si="47"/>
        <v>1534687546</v>
      </c>
      <c r="AI105" s="223">
        <f t="shared" si="47"/>
        <v>632846000</v>
      </c>
      <c r="AJ105" s="223">
        <f t="shared" si="47"/>
        <v>0</v>
      </c>
      <c r="AK105" s="223">
        <f t="shared" si="47"/>
        <v>632846000</v>
      </c>
      <c r="AL105" s="221">
        <f t="shared" si="47"/>
        <v>901841546</v>
      </c>
      <c r="AM105" s="223">
        <f t="shared" si="47"/>
        <v>42166005</v>
      </c>
      <c r="AN105" s="225"/>
    </row>
    <row r="106" spans="1:40" s="294" customFormat="1" ht="19.5" customHeight="1">
      <c r="A106" s="288"/>
      <c r="B106" s="287" t="s">
        <v>1327</v>
      </c>
      <c r="C106" s="288"/>
      <c r="D106" s="288"/>
      <c r="E106" s="289"/>
      <c r="F106" s="291"/>
      <c r="G106" s="291"/>
      <c r="H106" s="291"/>
      <c r="I106" s="292">
        <f>SUM(I107:I108)</f>
        <v>5800</v>
      </c>
      <c r="J106" s="292">
        <f aca="true" t="shared" si="48" ref="J106:O106">SUM(J107:J108)</f>
        <v>0</v>
      </c>
      <c r="K106" s="292">
        <f t="shared" si="48"/>
        <v>5800</v>
      </c>
      <c r="L106" s="282">
        <f t="shared" si="48"/>
        <v>0</v>
      </c>
      <c r="M106" s="282">
        <f t="shared" si="48"/>
        <v>0</v>
      </c>
      <c r="N106" s="282">
        <f t="shared" si="48"/>
        <v>5206.7080000000005</v>
      </c>
      <c r="O106" s="237">
        <f t="shared" si="48"/>
        <v>0</v>
      </c>
      <c r="P106" s="295">
        <f>SUM(P107:P108)</f>
        <v>5206.7080000000005</v>
      </c>
      <c r="Q106" s="295">
        <f>SUM(Q107:Q108)</f>
        <v>5206.7080000000005</v>
      </c>
      <c r="R106" s="295">
        <f>SUM(R107:R108)</f>
        <v>0</v>
      </c>
      <c r="S106" s="295">
        <f>SUM(S107:S108)</f>
        <v>0</v>
      </c>
      <c r="T106" s="295"/>
      <c r="U106" s="290"/>
      <c r="V106" s="240"/>
      <c r="W106" s="240"/>
      <c r="X106" s="240"/>
      <c r="Y106" s="240"/>
      <c r="Z106" s="297"/>
      <c r="AA106" s="297"/>
      <c r="AB106" s="297"/>
      <c r="AC106" s="297"/>
      <c r="AD106" s="297"/>
      <c r="AE106" s="297"/>
      <c r="AF106" s="297"/>
      <c r="AG106" s="240"/>
      <c r="AH106" s="240">
        <f aca="true" t="shared" si="49" ref="AH106:AH140">AI106+AL106</f>
        <v>0</v>
      </c>
      <c r="AI106" s="240">
        <f aca="true" t="shared" si="50" ref="AI106:AI140">SUM(AJ106:AK106)</f>
        <v>0</v>
      </c>
      <c r="AJ106" s="240">
        <f aca="true" t="shared" si="51" ref="AJ106:AJ140">W106-AF106-AG106</f>
        <v>0</v>
      </c>
      <c r="AK106" s="297"/>
      <c r="AL106" s="244"/>
      <c r="AM106" s="236">
        <f aca="true" t="shared" si="52" ref="AM106:AM140">AB106-AD106-AE106-AK106-AL106</f>
        <v>0</v>
      </c>
      <c r="AN106" s="298"/>
    </row>
    <row r="107" spans="1:40" s="262" customFormat="1" ht="19.5" customHeight="1">
      <c r="A107" s="322"/>
      <c r="B107" s="311" t="s">
        <v>1376</v>
      </c>
      <c r="C107" s="250" t="s">
        <v>1316</v>
      </c>
      <c r="D107" s="230" t="s">
        <v>1377</v>
      </c>
      <c r="E107" s="300"/>
      <c r="F107" s="235">
        <v>47000</v>
      </c>
      <c r="G107" s="236">
        <v>22644</v>
      </c>
      <c r="H107" s="236">
        <v>17446</v>
      </c>
      <c r="I107" s="240">
        <f>K107+M107</f>
        <v>4023</v>
      </c>
      <c r="J107" s="346"/>
      <c r="K107" s="240">
        <v>4023</v>
      </c>
      <c r="L107" s="237"/>
      <c r="M107" s="237"/>
      <c r="N107" s="239">
        <f>Q107+R107+S107</f>
        <v>4023</v>
      </c>
      <c r="O107" s="239"/>
      <c r="P107" s="239">
        <f>SUM(Q107:S107)</f>
        <v>4023</v>
      </c>
      <c r="Q107" s="239">
        <v>4023</v>
      </c>
      <c r="R107" s="239">
        <v>0</v>
      </c>
      <c r="S107" s="239">
        <v>0</v>
      </c>
      <c r="T107" s="257"/>
      <c r="U107" s="254"/>
      <c r="V107" s="240">
        <f>W107+X107</f>
        <v>0</v>
      </c>
      <c r="W107" s="240"/>
      <c r="X107" s="240"/>
      <c r="Y107" s="240">
        <v>4023000000</v>
      </c>
      <c r="Z107" s="258"/>
      <c r="AA107" s="258"/>
      <c r="AB107" s="241">
        <f>Y107+Z107-AA107+X107</f>
        <v>4023000000</v>
      </c>
      <c r="AC107" s="242">
        <f>AD107+AE107+AF107</f>
        <v>4023000000</v>
      </c>
      <c r="AD107" s="240">
        <v>4023000000</v>
      </c>
      <c r="AE107" s="258"/>
      <c r="AF107" s="258"/>
      <c r="AG107" s="240"/>
      <c r="AH107" s="240">
        <f t="shared" si="49"/>
        <v>0</v>
      </c>
      <c r="AI107" s="240">
        <f t="shared" si="50"/>
        <v>0</v>
      </c>
      <c r="AJ107" s="240">
        <f t="shared" si="51"/>
        <v>0</v>
      </c>
      <c r="AK107" s="260"/>
      <c r="AL107" s="244"/>
      <c r="AM107" s="236">
        <f t="shared" si="52"/>
        <v>0</v>
      </c>
      <c r="AN107" s="261"/>
    </row>
    <row r="108" spans="1:40" s="262" customFormat="1" ht="19.5" customHeight="1">
      <c r="A108" s="322"/>
      <c r="B108" s="231" t="s">
        <v>1378</v>
      </c>
      <c r="C108" s="250" t="s">
        <v>1379</v>
      </c>
      <c r="D108" s="230" t="s">
        <v>1380</v>
      </c>
      <c r="E108" s="300" t="s">
        <v>1381</v>
      </c>
      <c r="F108" s="235">
        <v>43327</v>
      </c>
      <c r="G108" s="236">
        <v>17836</v>
      </c>
      <c r="H108" s="236">
        <v>15549</v>
      </c>
      <c r="I108" s="240">
        <f>K108+M108</f>
        <v>1777</v>
      </c>
      <c r="J108" s="346"/>
      <c r="K108" s="240">
        <v>1777</v>
      </c>
      <c r="L108" s="237"/>
      <c r="M108" s="237"/>
      <c r="N108" s="239">
        <f>Q108+R108+S108</f>
        <v>1183.708</v>
      </c>
      <c r="O108" s="239"/>
      <c r="P108" s="239">
        <f>SUM(Q108:S108)</f>
        <v>1183.708</v>
      </c>
      <c r="Q108" s="239">
        <v>1183.708</v>
      </c>
      <c r="R108" s="239">
        <v>0</v>
      </c>
      <c r="S108" s="239">
        <v>0</v>
      </c>
      <c r="T108" s="257"/>
      <c r="U108" s="254"/>
      <c r="V108" s="240">
        <f>W108+X108</f>
        <v>0</v>
      </c>
      <c r="W108" s="240"/>
      <c r="X108" s="240"/>
      <c r="Y108" s="240">
        <v>1777000000</v>
      </c>
      <c r="Z108" s="258"/>
      <c r="AA108" s="258">
        <v>30350000</v>
      </c>
      <c r="AB108" s="241">
        <f>Y108+Z108-AA108+X108</f>
        <v>1746650000</v>
      </c>
      <c r="AC108" s="242">
        <f>AD108+AE108+AF108</f>
        <v>1183708000</v>
      </c>
      <c r="AD108" s="242">
        <v>1183708000</v>
      </c>
      <c r="AE108" s="258"/>
      <c r="AF108" s="258"/>
      <c r="AG108" s="240"/>
      <c r="AH108" s="240">
        <f t="shared" si="49"/>
        <v>562942000</v>
      </c>
      <c r="AI108" s="240">
        <f t="shared" si="50"/>
        <v>562942000</v>
      </c>
      <c r="AJ108" s="240">
        <f t="shared" si="51"/>
        <v>0</v>
      </c>
      <c r="AK108" s="242">
        <v>562942000</v>
      </c>
      <c r="AL108" s="244"/>
      <c r="AM108" s="236">
        <f t="shared" si="52"/>
        <v>0</v>
      </c>
      <c r="AN108" s="261"/>
    </row>
    <row r="109" spans="1:40" s="294" customFormat="1" ht="19.5" customHeight="1">
      <c r="A109" s="304"/>
      <c r="B109" s="217" t="s">
        <v>1329</v>
      </c>
      <c r="C109" s="232"/>
      <c r="D109" s="232"/>
      <c r="E109" s="234"/>
      <c r="F109" s="235"/>
      <c r="G109" s="236"/>
      <c r="H109" s="236"/>
      <c r="I109" s="292">
        <f>SUM(I110:I142)</f>
        <v>33466.06999999999</v>
      </c>
      <c r="J109" s="292">
        <f aca="true" t="shared" si="53" ref="J109:U109">SUM(J110:J142)</f>
        <v>0</v>
      </c>
      <c r="K109" s="292">
        <f t="shared" si="53"/>
        <v>33466.06999999999</v>
      </c>
      <c r="L109" s="292">
        <f t="shared" si="53"/>
        <v>0</v>
      </c>
      <c r="M109" s="292">
        <f t="shared" si="53"/>
        <v>0</v>
      </c>
      <c r="N109" s="282">
        <f t="shared" si="53"/>
        <v>36054.546449</v>
      </c>
      <c r="O109" s="282">
        <f t="shared" si="53"/>
        <v>0</v>
      </c>
      <c r="P109" s="282">
        <f t="shared" si="53"/>
        <v>36054.546449</v>
      </c>
      <c r="Q109" s="292">
        <f t="shared" si="53"/>
        <v>35373.71844899999</v>
      </c>
      <c r="R109" s="292">
        <f t="shared" si="53"/>
        <v>29.828</v>
      </c>
      <c r="S109" s="292">
        <f t="shared" si="53"/>
        <v>651</v>
      </c>
      <c r="T109" s="292">
        <f t="shared" si="53"/>
        <v>0</v>
      </c>
      <c r="U109" s="292">
        <f t="shared" si="53"/>
        <v>0</v>
      </c>
      <c r="V109" s="240"/>
      <c r="W109" s="240"/>
      <c r="X109" s="240"/>
      <c r="Y109" s="240"/>
      <c r="Z109" s="308"/>
      <c r="AA109" s="308"/>
      <c r="AB109" s="308"/>
      <c r="AC109" s="308"/>
      <c r="AD109" s="308"/>
      <c r="AE109" s="308"/>
      <c r="AF109" s="308"/>
      <c r="AG109" s="240"/>
      <c r="AH109" s="240">
        <f t="shared" si="49"/>
        <v>0</v>
      </c>
      <c r="AI109" s="240">
        <f t="shared" si="50"/>
        <v>0</v>
      </c>
      <c r="AJ109" s="240">
        <f t="shared" si="51"/>
        <v>0</v>
      </c>
      <c r="AK109" s="297"/>
      <c r="AL109" s="244"/>
      <c r="AM109" s="236">
        <f t="shared" si="52"/>
        <v>0</v>
      </c>
      <c r="AN109" s="298"/>
    </row>
    <row r="110" spans="1:40" ht="19.5" customHeight="1">
      <c r="A110" s="230"/>
      <c r="B110" s="311" t="s">
        <v>1382</v>
      </c>
      <c r="C110" s="250"/>
      <c r="D110" s="250"/>
      <c r="E110" s="300"/>
      <c r="F110" s="235"/>
      <c r="G110" s="236"/>
      <c r="H110" s="236"/>
      <c r="I110" s="240"/>
      <c r="J110" s="241"/>
      <c r="K110" s="240"/>
      <c r="L110" s="237"/>
      <c r="M110" s="237"/>
      <c r="N110" s="239">
        <f aca="true" t="shared" si="54" ref="N110:N140">Q110+R110+S110</f>
        <v>51</v>
      </c>
      <c r="O110" s="239"/>
      <c r="P110" s="239">
        <f>SUM(Q110:S110)</f>
        <v>51</v>
      </c>
      <c r="Q110" s="239">
        <v>0</v>
      </c>
      <c r="R110" s="239"/>
      <c r="S110" s="239">
        <v>51</v>
      </c>
      <c r="T110" s="301"/>
      <c r="U110" s="235"/>
      <c r="V110" s="240">
        <f aca="true" t="shared" si="55" ref="V110:V140">W110+X110</f>
        <v>51000000</v>
      </c>
      <c r="W110" s="240">
        <v>51000000</v>
      </c>
      <c r="X110" s="240"/>
      <c r="Y110" s="240"/>
      <c r="Z110" s="302"/>
      <c r="AA110" s="302"/>
      <c r="AB110" s="241">
        <f aca="true" t="shared" si="56" ref="AB110:AB140">Y110+Z110-AA110+X110</f>
        <v>0</v>
      </c>
      <c r="AC110" s="242">
        <f aca="true" t="shared" si="57" ref="AC110:AC140">AD110+AE110+AF110</f>
        <v>51000000</v>
      </c>
      <c r="AD110" s="312"/>
      <c r="AE110" s="302"/>
      <c r="AF110" s="302">
        <v>51000000</v>
      </c>
      <c r="AG110" s="240"/>
      <c r="AH110" s="240">
        <f t="shared" si="49"/>
        <v>0</v>
      </c>
      <c r="AI110" s="240">
        <f t="shared" si="50"/>
        <v>0</v>
      </c>
      <c r="AJ110" s="240">
        <f t="shared" si="51"/>
        <v>0</v>
      </c>
      <c r="AK110" s="302"/>
      <c r="AL110" s="244"/>
      <c r="AM110" s="236">
        <f t="shared" si="52"/>
        <v>0</v>
      </c>
      <c r="AN110" s="313"/>
    </row>
    <row r="111" spans="1:40" s="262" customFormat="1" ht="19.5" customHeight="1">
      <c r="A111" s="322"/>
      <c r="B111" s="231" t="s">
        <v>1383</v>
      </c>
      <c r="C111" s="250" t="s">
        <v>1341</v>
      </c>
      <c r="D111" s="230" t="s">
        <v>1380</v>
      </c>
      <c r="E111" s="300"/>
      <c r="F111" s="235">
        <v>27504</v>
      </c>
      <c r="G111" s="236">
        <v>27347</v>
      </c>
      <c r="H111" s="236">
        <v>25656</v>
      </c>
      <c r="I111" s="240">
        <f aca="true" t="shared" si="58" ref="I111:I140">K111+M111</f>
        <v>1518</v>
      </c>
      <c r="J111" s="346"/>
      <c r="K111" s="240">
        <v>1518</v>
      </c>
      <c r="L111" s="237"/>
      <c r="M111" s="237"/>
      <c r="N111" s="239">
        <f t="shared" si="54"/>
        <v>1517.744</v>
      </c>
      <c r="O111" s="239"/>
      <c r="P111" s="239">
        <f aca="true" t="shared" si="59" ref="P111:P142">SUM(Q111:S111)</f>
        <v>1517.744</v>
      </c>
      <c r="Q111" s="239">
        <v>1517.744</v>
      </c>
      <c r="R111" s="239"/>
      <c r="S111" s="239">
        <v>0</v>
      </c>
      <c r="T111" s="257"/>
      <c r="U111" s="254"/>
      <c r="V111" s="240">
        <f t="shared" si="55"/>
        <v>0</v>
      </c>
      <c r="W111" s="240"/>
      <c r="X111" s="240"/>
      <c r="Y111" s="240">
        <v>1518000000</v>
      </c>
      <c r="Z111" s="258"/>
      <c r="AA111" s="258">
        <v>256000</v>
      </c>
      <c r="AB111" s="241">
        <f>Y111+Z111-AA111+X111</f>
        <v>1517744000</v>
      </c>
      <c r="AC111" s="242">
        <f t="shared" si="57"/>
        <v>1517744000</v>
      </c>
      <c r="AD111" s="242">
        <v>1517744000</v>
      </c>
      <c r="AE111" s="258"/>
      <c r="AF111" s="258"/>
      <c r="AG111" s="240"/>
      <c r="AH111" s="240">
        <f t="shared" si="49"/>
        <v>0</v>
      </c>
      <c r="AI111" s="240">
        <f t="shared" si="50"/>
        <v>0</v>
      </c>
      <c r="AJ111" s="240">
        <f t="shared" si="51"/>
        <v>0</v>
      </c>
      <c r="AK111" s="260"/>
      <c r="AL111" s="244"/>
      <c r="AM111" s="236">
        <f t="shared" si="52"/>
        <v>0</v>
      </c>
      <c r="AN111" s="347"/>
    </row>
    <row r="112" spans="1:40" s="262" customFormat="1" ht="19.5" customHeight="1">
      <c r="A112" s="322"/>
      <c r="B112" s="311" t="s">
        <v>1384</v>
      </c>
      <c r="C112" s="250" t="s">
        <v>1341</v>
      </c>
      <c r="D112" s="230" t="s">
        <v>1385</v>
      </c>
      <c r="E112" s="300"/>
      <c r="F112" s="235">
        <v>14700</v>
      </c>
      <c r="G112" s="236">
        <v>14406</v>
      </c>
      <c r="H112" s="236">
        <v>11169</v>
      </c>
      <c r="I112" s="240">
        <f t="shared" si="58"/>
        <v>2632</v>
      </c>
      <c r="J112" s="346"/>
      <c r="K112" s="240">
        <v>2632</v>
      </c>
      <c r="L112" s="237"/>
      <c r="M112" s="237"/>
      <c r="N112" s="239">
        <f t="shared" si="54"/>
        <v>2500</v>
      </c>
      <c r="O112" s="239"/>
      <c r="P112" s="239">
        <f t="shared" si="59"/>
        <v>2500</v>
      </c>
      <c r="Q112" s="239">
        <v>2500</v>
      </c>
      <c r="R112" s="239"/>
      <c r="S112" s="239">
        <v>0</v>
      </c>
      <c r="T112" s="257"/>
      <c r="U112" s="254"/>
      <c r="V112" s="240">
        <f t="shared" si="55"/>
        <v>0</v>
      </c>
      <c r="W112" s="240"/>
      <c r="X112" s="240"/>
      <c r="Y112" s="240">
        <v>2632000000</v>
      </c>
      <c r="Z112" s="258"/>
      <c r="AA112" s="258">
        <v>132000000</v>
      </c>
      <c r="AB112" s="241">
        <f t="shared" si="56"/>
        <v>2500000000</v>
      </c>
      <c r="AC112" s="242">
        <f t="shared" si="57"/>
        <v>2500000000</v>
      </c>
      <c r="AD112" s="242">
        <v>2500000000</v>
      </c>
      <c r="AE112" s="258"/>
      <c r="AF112" s="258"/>
      <c r="AG112" s="240"/>
      <c r="AH112" s="240">
        <f t="shared" si="49"/>
        <v>0</v>
      </c>
      <c r="AI112" s="240">
        <f t="shared" si="50"/>
        <v>0</v>
      </c>
      <c r="AJ112" s="240">
        <f t="shared" si="51"/>
        <v>0</v>
      </c>
      <c r="AK112" s="260"/>
      <c r="AL112" s="244"/>
      <c r="AM112" s="236">
        <f t="shared" si="52"/>
        <v>0</v>
      </c>
      <c r="AN112" s="348"/>
    </row>
    <row r="113" spans="1:40" s="262" customFormat="1" ht="19.5" customHeight="1">
      <c r="A113" s="322"/>
      <c r="B113" s="311" t="s">
        <v>1386</v>
      </c>
      <c r="C113" s="250" t="s">
        <v>1341</v>
      </c>
      <c r="D113" s="230">
        <v>2014</v>
      </c>
      <c r="E113" s="300"/>
      <c r="F113" s="235">
        <v>3400</v>
      </c>
      <c r="G113" s="236">
        <v>1200</v>
      </c>
      <c r="H113" s="236"/>
      <c r="I113" s="240">
        <f t="shared" si="58"/>
        <v>1200</v>
      </c>
      <c r="J113" s="346"/>
      <c r="K113" s="240">
        <v>1200</v>
      </c>
      <c r="L113" s="237"/>
      <c r="M113" s="237"/>
      <c r="N113" s="239">
        <f t="shared" si="54"/>
        <v>1200</v>
      </c>
      <c r="O113" s="239"/>
      <c r="P113" s="239">
        <f t="shared" si="59"/>
        <v>1200</v>
      </c>
      <c r="Q113" s="239">
        <v>1200</v>
      </c>
      <c r="R113" s="239"/>
      <c r="S113" s="239">
        <v>0</v>
      </c>
      <c r="T113" s="257"/>
      <c r="U113" s="254"/>
      <c r="V113" s="240">
        <f t="shared" si="55"/>
        <v>0</v>
      </c>
      <c r="W113" s="240"/>
      <c r="X113" s="240"/>
      <c r="Y113" s="240">
        <v>1200000000</v>
      </c>
      <c r="Z113" s="258"/>
      <c r="AA113" s="258"/>
      <c r="AB113" s="241">
        <f t="shared" si="56"/>
        <v>1200000000</v>
      </c>
      <c r="AC113" s="242">
        <f t="shared" si="57"/>
        <v>1200000000</v>
      </c>
      <c r="AD113" s="242">
        <v>1200000000</v>
      </c>
      <c r="AE113" s="258"/>
      <c r="AF113" s="258"/>
      <c r="AG113" s="240"/>
      <c r="AH113" s="240">
        <f t="shared" si="49"/>
        <v>0</v>
      </c>
      <c r="AI113" s="240">
        <f t="shared" si="50"/>
        <v>0</v>
      </c>
      <c r="AJ113" s="240">
        <f t="shared" si="51"/>
        <v>0</v>
      </c>
      <c r="AK113" s="260"/>
      <c r="AL113" s="244"/>
      <c r="AM113" s="236">
        <f t="shared" si="52"/>
        <v>0</v>
      </c>
      <c r="AN113" s="348"/>
    </row>
    <row r="114" spans="1:40" s="193" customFormat="1" ht="19.5" customHeight="1">
      <c r="A114" s="232"/>
      <c r="B114" s="311" t="s">
        <v>1387</v>
      </c>
      <c r="C114" s="250" t="s">
        <v>1341</v>
      </c>
      <c r="D114" s="230">
        <v>2012</v>
      </c>
      <c r="E114" s="300"/>
      <c r="F114" s="235">
        <v>5910</v>
      </c>
      <c r="G114" s="236">
        <v>5792</v>
      </c>
      <c r="H114" s="236">
        <v>5105</v>
      </c>
      <c r="I114" s="240">
        <f t="shared" si="58"/>
        <v>800</v>
      </c>
      <c r="J114" s="241"/>
      <c r="K114" s="240">
        <v>800</v>
      </c>
      <c r="L114" s="237"/>
      <c r="M114" s="237"/>
      <c r="N114" s="239">
        <f t="shared" si="54"/>
        <v>733.769</v>
      </c>
      <c r="O114" s="239"/>
      <c r="P114" s="239">
        <f t="shared" si="59"/>
        <v>733.769</v>
      </c>
      <c r="Q114" s="239">
        <v>733.769</v>
      </c>
      <c r="R114" s="239"/>
      <c r="S114" s="239">
        <v>0</v>
      </c>
      <c r="T114" s="301"/>
      <c r="U114" s="235"/>
      <c r="V114" s="240">
        <f t="shared" si="55"/>
        <v>0</v>
      </c>
      <c r="W114" s="240"/>
      <c r="X114" s="240"/>
      <c r="Y114" s="240">
        <v>800000000</v>
      </c>
      <c r="Z114" s="302"/>
      <c r="AA114" s="302">
        <v>66231000</v>
      </c>
      <c r="AB114" s="241">
        <f t="shared" si="56"/>
        <v>733769000</v>
      </c>
      <c r="AC114" s="242">
        <f t="shared" si="57"/>
        <v>733769000</v>
      </c>
      <c r="AD114" s="242">
        <v>733769000</v>
      </c>
      <c r="AE114" s="302"/>
      <c r="AF114" s="302"/>
      <c r="AG114" s="240"/>
      <c r="AH114" s="240">
        <f t="shared" si="49"/>
        <v>0</v>
      </c>
      <c r="AI114" s="240">
        <f t="shared" si="50"/>
        <v>0</v>
      </c>
      <c r="AJ114" s="240">
        <f t="shared" si="51"/>
        <v>0</v>
      </c>
      <c r="AK114" s="303"/>
      <c r="AL114" s="244"/>
      <c r="AM114" s="236">
        <f t="shared" si="52"/>
        <v>0</v>
      </c>
      <c r="AN114" s="349"/>
    </row>
    <row r="115" spans="1:40" s="338" customFormat="1" ht="19.5" customHeight="1">
      <c r="A115" s="232"/>
      <c r="B115" s="311" t="s">
        <v>1388</v>
      </c>
      <c r="C115" s="250" t="s">
        <v>1341</v>
      </c>
      <c r="D115" s="319" t="s">
        <v>1389</v>
      </c>
      <c r="E115" s="350" t="s">
        <v>1390</v>
      </c>
      <c r="F115" s="235">
        <v>13000</v>
      </c>
      <c r="G115" s="236">
        <v>12913</v>
      </c>
      <c r="H115" s="236">
        <v>2970</v>
      </c>
      <c r="I115" s="240">
        <f t="shared" si="58"/>
        <v>4500</v>
      </c>
      <c r="J115" s="241"/>
      <c r="K115" s="240">
        <v>4500</v>
      </c>
      <c r="L115" s="237"/>
      <c r="M115" s="237"/>
      <c r="N115" s="239">
        <f t="shared" si="54"/>
        <v>5129.828</v>
      </c>
      <c r="O115" s="239"/>
      <c r="P115" s="239">
        <f t="shared" si="59"/>
        <v>5129.828</v>
      </c>
      <c r="Q115" s="239">
        <v>4500</v>
      </c>
      <c r="R115" s="239">
        <v>29.828</v>
      </c>
      <c r="S115" s="239">
        <v>600</v>
      </c>
      <c r="T115" s="301"/>
      <c r="U115" s="235"/>
      <c r="V115" s="240">
        <f t="shared" si="55"/>
        <v>29828000</v>
      </c>
      <c r="W115" s="240"/>
      <c r="X115" s="240">
        <v>29828000</v>
      </c>
      <c r="Y115" s="240">
        <v>4500000000</v>
      </c>
      <c r="Z115" s="302"/>
      <c r="AA115" s="302"/>
      <c r="AB115" s="241">
        <f t="shared" si="56"/>
        <v>4529828000</v>
      </c>
      <c r="AC115" s="242">
        <f t="shared" si="57"/>
        <v>4529828000</v>
      </c>
      <c r="AD115" s="242">
        <v>4500000000</v>
      </c>
      <c r="AE115" s="302">
        <v>29828000</v>
      </c>
      <c r="AF115" s="302"/>
      <c r="AG115" s="240"/>
      <c r="AH115" s="240">
        <f t="shared" si="49"/>
        <v>0</v>
      </c>
      <c r="AI115" s="240">
        <f t="shared" si="50"/>
        <v>0</v>
      </c>
      <c r="AJ115" s="240">
        <f t="shared" si="51"/>
        <v>0</v>
      </c>
      <c r="AK115" s="336"/>
      <c r="AL115" s="244"/>
      <c r="AM115" s="236">
        <f t="shared" si="52"/>
        <v>0</v>
      </c>
      <c r="AN115" s="349"/>
    </row>
    <row r="116" spans="1:40" s="262" customFormat="1" ht="19.5" customHeight="1">
      <c r="A116" s="322"/>
      <c r="B116" s="311" t="s">
        <v>1391</v>
      </c>
      <c r="C116" s="250" t="s">
        <v>1341</v>
      </c>
      <c r="D116" s="230">
        <v>2011</v>
      </c>
      <c r="E116" s="300"/>
      <c r="F116" s="235">
        <v>14900</v>
      </c>
      <c r="G116" s="236">
        <v>14900</v>
      </c>
      <c r="H116" s="236">
        <v>12500</v>
      </c>
      <c r="I116" s="240">
        <f t="shared" si="58"/>
        <v>1400</v>
      </c>
      <c r="J116" s="346"/>
      <c r="K116" s="240">
        <v>1400</v>
      </c>
      <c r="L116" s="237"/>
      <c r="M116" s="237"/>
      <c r="N116" s="239">
        <f t="shared" si="54"/>
        <v>1400</v>
      </c>
      <c r="O116" s="351"/>
      <c r="P116" s="239">
        <f t="shared" si="59"/>
        <v>1400</v>
      </c>
      <c r="Q116" s="239">
        <v>1400</v>
      </c>
      <c r="R116" s="239">
        <v>0</v>
      </c>
      <c r="S116" s="239">
        <v>0</v>
      </c>
      <c r="T116" s="257"/>
      <c r="U116" s="254"/>
      <c r="V116" s="240">
        <f t="shared" si="55"/>
        <v>25000000</v>
      </c>
      <c r="W116" s="240"/>
      <c r="X116" s="240">
        <v>25000000</v>
      </c>
      <c r="Y116" s="240">
        <v>1400000000</v>
      </c>
      <c r="Z116" s="258"/>
      <c r="AA116" s="258">
        <v>25000000</v>
      </c>
      <c r="AB116" s="241">
        <f t="shared" si="56"/>
        <v>1400000000</v>
      </c>
      <c r="AC116" s="242">
        <f t="shared" si="57"/>
        <v>1400000000</v>
      </c>
      <c r="AD116" s="352">
        <v>1400000000</v>
      </c>
      <c r="AE116" s="258"/>
      <c r="AF116" s="258"/>
      <c r="AG116" s="240"/>
      <c r="AH116" s="240">
        <f t="shared" si="49"/>
        <v>0</v>
      </c>
      <c r="AI116" s="240">
        <f t="shared" si="50"/>
        <v>0</v>
      </c>
      <c r="AJ116" s="240">
        <f t="shared" si="51"/>
        <v>0</v>
      </c>
      <c r="AK116" s="260"/>
      <c r="AL116" s="244"/>
      <c r="AM116" s="236">
        <f t="shared" si="52"/>
        <v>0</v>
      </c>
      <c r="AN116" s="348"/>
    </row>
    <row r="117" spans="1:40" s="262" customFormat="1" ht="30" customHeight="1">
      <c r="A117" s="322"/>
      <c r="B117" s="353" t="s">
        <v>1392</v>
      </c>
      <c r="C117" s="354" t="s">
        <v>1393</v>
      </c>
      <c r="D117" s="355"/>
      <c r="E117" s="356"/>
      <c r="F117" s="357"/>
      <c r="G117" s="358"/>
      <c r="H117" s="358"/>
      <c r="I117" s="359">
        <f t="shared" si="58"/>
        <v>58.07</v>
      </c>
      <c r="J117" s="360"/>
      <c r="K117" s="359">
        <v>58.07</v>
      </c>
      <c r="L117" s="359"/>
      <c r="M117" s="359"/>
      <c r="N117" s="361">
        <f t="shared" si="54"/>
        <v>58.067</v>
      </c>
      <c r="O117" s="361"/>
      <c r="P117" s="361">
        <f t="shared" si="59"/>
        <v>58.067</v>
      </c>
      <c r="Q117" s="361">
        <v>58.067</v>
      </c>
      <c r="R117" s="361">
        <v>0</v>
      </c>
      <c r="S117" s="361">
        <v>0</v>
      </c>
      <c r="T117" s="362"/>
      <c r="U117" s="363"/>
      <c r="V117" s="240"/>
      <c r="W117" s="240"/>
      <c r="X117" s="240"/>
      <c r="Y117" s="240"/>
      <c r="Z117" s="258"/>
      <c r="AA117" s="258"/>
      <c r="AB117" s="241"/>
      <c r="AC117" s="242"/>
      <c r="AD117" s="352"/>
      <c r="AE117" s="258"/>
      <c r="AF117" s="258"/>
      <c r="AG117" s="240"/>
      <c r="AH117" s="240"/>
      <c r="AI117" s="240"/>
      <c r="AJ117" s="240"/>
      <c r="AK117" s="260"/>
      <c r="AL117" s="244"/>
      <c r="AM117" s="236"/>
      <c r="AN117" s="348"/>
    </row>
    <row r="118" spans="1:40" s="262" customFormat="1" ht="19.5" customHeight="1">
      <c r="A118" s="322"/>
      <c r="B118" s="311" t="s">
        <v>1394</v>
      </c>
      <c r="C118" s="250" t="s">
        <v>1379</v>
      </c>
      <c r="D118" s="230">
        <v>2012</v>
      </c>
      <c r="E118" s="300"/>
      <c r="F118" s="235">
        <v>15090</v>
      </c>
      <c r="G118" s="236">
        <f>H118</f>
        <v>11000</v>
      </c>
      <c r="H118" s="236">
        <v>11000</v>
      </c>
      <c r="I118" s="240">
        <f t="shared" si="58"/>
        <v>2500</v>
      </c>
      <c r="J118" s="346"/>
      <c r="K118" s="240">
        <v>2500</v>
      </c>
      <c r="L118" s="237"/>
      <c r="M118" s="237"/>
      <c r="N118" s="239">
        <f t="shared" si="54"/>
        <v>2500</v>
      </c>
      <c r="O118" s="239"/>
      <c r="P118" s="239">
        <f t="shared" si="59"/>
        <v>2500</v>
      </c>
      <c r="Q118" s="239">
        <v>2500</v>
      </c>
      <c r="R118" s="239">
        <v>0</v>
      </c>
      <c r="S118" s="239">
        <v>0</v>
      </c>
      <c r="T118" s="257"/>
      <c r="U118" s="254"/>
      <c r="V118" s="240">
        <f t="shared" si="55"/>
        <v>0</v>
      </c>
      <c r="W118" s="240"/>
      <c r="X118" s="240"/>
      <c r="Y118" s="240">
        <v>2500000000</v>
      </c>
      <c r="Z118" s="258"/>
      <c r="AA118" s="258"/>
      <c r="AB118" s="241">
        <f t="shared" si="56"/>
        <v>2500000000</v>
      </c>
      <c r="AC118" s="242">
        <f t="shared" si="57"/>
        <v>2500000000</v>
      </c>
      <c r="AD118" s="242">
        <v>2500000000</v>
      </c>
      <c r="AE118" s="258"/>
      <c r="AF118" s="258"/>
      <c r="AG118" s="240"/>
      <c r="AH118" s="240">
        <f t="shared" si="49"/>
        <v>0</v>
      </c>
      <c r="AI118" s="240">
        <f t="shared" si="50"/>
        <v>0</v>
      </c>
      <c r="AJ118" s="240">
        <f t="shared" si="51"/>
        <v>0</v>
      </c>
      <c r="AK118" s="260"/>
      <c r="AL118" s="244"/>
      <c r="AM118" s="236">
        <f t="shared" si="52"/>
        <v>0</v>
      </c>
      <c r="AN118" s="261"/>
    </row>
    <row r="119" spans="1:40" s="262" customFormat="1" ht="19.5" customHeight="1">
      <c r="A119" s="322"/>
      <c r="B119" s="231" t="s">
        <v>1395</v>
      </c>
      <c r="C119" s="250" t="s">
        <v>1379</v>
      </c>
      <c r="D119" s="230">
        <v>2009</v>
      </c>
      <c r="E119" s="300"/>
      <c r="F119" s="235">
        <v>4810</v>
      </c>
      <c r="G119" s="236">
        <v>4607</v>
      </c>
      <c r="H119" s="236">
        <v>2700</v>
      </c>
      <c r="I119" s="240">
        <f t="shared" si="58"/>
        <v>1900</v>
      </c>
      <c r="J119" s="346"/>
      <c r="K119" s="240">
        <v>1900</v>
      </c>
      <c r="L119" s="237"/>
      <c r="M119" s="237"/>
      <c r="N119" s="239">
        <f t="shared" si="54"/>
        <v>1748.845</v>
      </c>
      <c r="O119" s="239"/>
      <c r="P119" s="239">
        <f t="shared" si="59"/>
        <v>1748.845</v>
      </c>
      <c r="Q119" s="239">
        <v>1748.845</v>
      </c>
      <c r="R119" s="239">
        <v>0</v>
      </c>
      <c r="S119" s="239">
        <v>0</v>
      </c>
      <c r="T119" s="257"/>
      <c r="U119" s="254"/>
      <c r="V119" s="240">
        <f t="shared" si="55"/>
        <v>0</v>
      </c>
      <c r="W119" s="240"/>
      <c r="X119" s="240"/>
      <c r="Y119" s="240">
        <v>1900000000</v>
      </c>
      <c r="Z119" s="258"/>
      <c r="AA119" s="258"/>
      <c r="AB119" s="241">
        <f t="shared" si="56"/>
        <v>1900000000</v>
      </c>
      <c r="AC119" s="242">
        <f t="shared" si="57"/>
        <v>1748845000</v>
      </c>
      <c r="AD119" s="242">
        <v>1748845000</v>
      </c>
      <c r="AE119" s="258"/>
      <c r="AF119" s="258"/>
      <c r="AG119" s="240"/>
      <c r="AH119" s="240">
        <f t="shared" si="49"/>
        <v>151155000</v>
      </c>
      <c r="AI119" s="240">
        <f t="shared" si="50"/>
        <v>69904000</v>
      </c>
      <c r="AJ119" s="240">
        <f t="shared" si="51"/>
        <v>0</v>
      </c>
      <c r="AK119" s="242">
        <v>69904000</v>
      </c>
      <c r="AL119" s="244">
        <v>81251000</v>
      </c>
      <c r="AM119" s="236">
        <f t="shared" si="52"/>
        <v>0</v>
      </c>
      <c r="AN119" s="364"/>
    </row>
    <row r="120" spans="1:40" s="193" customFormat="1" ht="19.5" customHeight="1">
      <c r="A120" s="232"/>
      <c r="B120" s="299" t="s">
        <v>1396</v>
      </c>
      <c r="C120" s="250" t="s">
        <v>1397</v>
      </c>
      <c r="D120" s="230">
        <v>2014</v>
      </c>
      <c r="E120" s="300"/>
      <c r="F120" s="235">
        <v>6750</v>
      </c>
      <c r="G120" s="236"/>
      <c r="H120" s="236"/>
      <c r="I120" s="240">
        <f t="shared" si="58"/>
        <v>1800</v>
      </c>
      <c r="J120" s="241"/>
      <c r="K120" s="240">
        <v>1800</v>
      </c>
      <c r="L120" s="237"/>
      <c r="M120" s="237"/>
      <c r="N120" s="239">
        <f t="shared" si="54"/>
        <v>1605.596818</v>
      </c>
      <c r="O120" s="239"/>
      <c r="P120" s="239">
        <f t="shared" si="59"/>
        <v>1605.596818</v>
      </c>
      <c r="Q120" s="239">
        <v>1605.596818</v>
      </c>
      <c r="R120" s="239">
        <v>0</v>
      </c>
      <c r="S120" s="239">
        <v>0</v>
      </c>
      <c r="T120" s="301"/>
      <c r="U120" s="235"/>
      <c r="V120" s="240">
        <f t="shared" si="55"/>
        <v>0</v>
      </c>
      <c r="W120" s="240"/>
      <c r="X120" s="240"/>
      <c r="Y120" s="240">
        <v>1800000000</v>
      </c>
      <c r="Z120" s="302"/>
      <c r="AA120" s="302">
        <v>171400000</v>
      </c>
      <c r="AB120" s="241">
        <f t="shared" si="56"/>
        <v>1628600000</v>
      </c>
      <c r="AC120" s="242">
        <f t="shared" si="57"/>
        <v>1605596818</v>
      </c>
      <c r="AD120" s="242">
        <v>1605596818</v>
      </c>
      <c r="AE120" s="302"/>
      <c r="AF120" s="302"/>
      <c r="AG120" s="240"/>
      <c r="AH120" s="240">
        <f t="shared" si="49"/>
        <v>23003182</v>
      </c>
      <c r="AI120" s="240">
        <f t="shared" si="50"/>
        <v>0</v>
      </c>
      <c r="AJ120" s="240">
        <f t="shared" si="51"/>
        <v>0</v>
      </c>
      <c r="AK120" s="303"/>
      <c r="AL120" s="244">
        <v>23003182</v>
      </c>
      <c r="AM120" s="236">
        <f t="shared" si="52"/>
        <v>0</v>
      </c>
      <c r="AN120" s="365"/>
    </row>
    <row r="121" spans="1:40" s="193" customFormat="1" ht="19.5" customHeight="1">
      <c r="A121" s="232"/>
      <c r="B121" s="299" t="s">
        <v>1398</v>
      </c>
      <c r="C121" s="250" t="s">
        <v>1058</v>
      </c>
      <c r="D121" s="230">
        <v>2014</v>
      </c>
      <c r="E121" s="300"/>
      <c r="F121" s="235">
        <v>9375</v>
      </c>
      <c r="G121" s="236"/>
      <c r="H121" s="236"/>
      <c r="I121" s="240">
        <f t="shared" si="58"/>
        <v>1700</v>
      </c>
      <c r="J121" s="241"/>
      <c r="K121" s="240">
        <v>1700</v>
      </c>
      <c r="L121" s="237"/>
      <c r="M121" s="237"/>
      <c r="N121" s="239">
        <f t="shared" si="54"/>
        <v>1168.112636</v>
      </c>
      <c r="O121" s="239"/>
      <c r="P121" s="239">
        <f t="shared" si="59"/>
        <v>1168.112636</v>
      </c>
      <c r="Q121" s="239">
        <v>1168.112636</v>
      </c>
      <c r="R121" s="239">
        <v>0</v>
      </c>
      <c r="S121" s="239">
        <v>0</v>
      </c>
      <c r="T121" s="301"/>
      <c r="U121" s="235"/>
      <c r="V121" s="240">
        <f t="shared" si="55"/>
        <v>0</v>
      </c>
      <c r="W121" s="240"/>
      <c r="X121" s="240"/>
      <c r="Y121" s="240">
        <v>1700000000</v>
      </c>
      <c r="Z121" s="302"/>
      <c r="AA121" s="302"/>
      <c r="AB121" s="241">
        <f t="shared" si="56"/>
        <v>1700000000</v>
      </c>
      <c r="AC121" s="242">
        <f t="shared" si="57"/>
        <v>1168112636</v>
      </c>
      <c r="AD121" s="242">
        <v>1168112636</v>
      </c>
      <c r="AE121" s="302"/>
      <c r="AF121" s="302"/>
      <c r="AG121" s="240"/>
      <c r="AH121" s="240">
        <f t="shared" si="49"/>
        <v>531887364</v>
      </c>
      <c r="AI121" s="240">
        <f t="shared" si="50"/>
        <v>0</v>
      </c>
      <c r="AJ121" s="240">
        <f t="shared" si="51"/>
        <v>0</v>
      </c>
      <c r="AK121" s="303"/>
      <c r="AL121" s="244">
        <v>531887364</v>
      </c>
      <c r="AM121" s="236">
        <f t="shared" si="52"/>
        <v>0</v>
      </c>
      <c r="AN121" s="349"/>
    </row>
    <row r="122" spans="1:40" s="262" customFormat="1" ht="19.5" customHeight="1">
      <c r="A122" s="322"/>
      <c r="B122" s="311" t="s">
        <v>1399</v>
      </c>
      <c r="C122" s="250" t="s">
        <v>1050</v>
      </c>
      <c r="D122" s="230">
        <v>2011</v>
      </c>
      <c r="E122" s="300"/>
      <c r="F122" s="235">
        <v>7600</v>
      </c>
      <c r="G122" s="236">
        <v>4500</v>
      </c>
      <c r="H122" s="236">
        <v>1500</v>
      </c>
      <c r="I122" s="240">
        <f t="shared" si="58"/>
        <v>1254</v>
      </c>
      <c r="J122" s="346"/>
      <c r="K122" s="240">
        <v>1254</v>
      </c>
      <c r="L122" s="237"/>
      <c r="M122" s="237"/>
      <c r="N122" s="239">
        <f t="shared" si="54"/>
        <v>843.929895</v>
      </c>
      <c r="O122" s="239"/>
      <c r="P122" s="239">
        <f t="shared" si="59"/>
        <v>843.929895</v>
      </c>
      <c r="Q122" s="239">
        <v>843.929895</v>
      </c>
      <c r="R122" s="239">
        <v>0</v>
      </c>
      <c r="S122" s="239">
        <v>0</v>
      </c>
      <c r="T122" s="257"/>
      <c r="U122" s="254"/>
      <c r="V122" s="240">
        <f t="shared" si="55"/>
        <v>0</v>
      </c>
      <c r="W122" s="240"/>
      <c r="X122" s="240"/>
      <c r="Y122" s="240">
        <v>1254000000</v>
      </c>
      <c r="Z122" s="258"/>
      <c r="AA122" s="258">
        <v>410070000</v>
      </c>
      <c r="AB122" s="241">
        <f t="shared" si="56"/>
        <v>843930000</v>
      </c>
      <c r="AC122" s="242">
        <f t="shared" si="57"/>
        <v>843929895</v>
      </c>
      <c r="AD122" s="242">
        <v>843929895</v>
      </c>
      <c r="AE122" s="258"/>
      <c r="AF122" s="258"/>
      <c r="AG122" s="240"/>
      <c r="AH122" s="240">
        <f t="shared" si="49"/>
        <v>0</v>
      </c>
      <c r="AI122" s="240">
        <f t="shared" si="50"/>
        <v>0</v>
      </c>
      <c r="AJ122" s="240">
        <f t="shared" si="51"/>
        <v>0</v>
      </c>
      <c r="AK122" s="260"/>
      <c r="AL122" s="244"/>
      <c r="AM122" s="236">
        <f t="shared" si="52"/>
        <v>105</v>
      </c>
      <c r="AN122" s="366"/>
    </row>
    <row r="123" spans="1:40" s="262" customFormat="1" ht="19.5" customHeight="1">
      <c r="A123" s="322"/>
      <c r="B123" s="311" t="s">
        <v>1400</v>
      </c>
      <c r="C123" s="250" t="s">
        <v>1260</v>
      </c>
      <c r="D123" s="230">
        <v>2010</v>
      </c>
      <c r="E123" s="300"/>
      <c r="F123" s="235">
        <v>7460</v>
      </c>
      <c r="G123" s="236">
        <v>7236</v>
      </c>
      <c r="H123" s="236">
        <v>3697</v>
      </c>
      <c r="I123" s="240">
        <f t="shared" si="58"/>
        <v>3500</v>
      </c>
      <c r="J123" s="346"/>
      <c r="K123" s="240">
        <v>3500</v>
      </c>
      <c r="L123" s="237"/>
      <c r="M123" s="237"/>
      <c r="N123" s="239">
        <f t="shared" si="54"/>
        <v>3500</v>
      </c>
      <c r="O123" s="239"/>
      <c r="P123" s="239">
        <f t="shared" si="59"/>
        <v>3500</v>
      </c>
      <c r="Q123" s="239">
        <v>3500</v>
      </c>
      <c r="R123" s="239">
        <v>0</v>
      </c>
      <c r="S123" s="239">
        <v>0</v>
      </c>
      <c r="T123" s="257"/>
      <c r="U123" s="254"/>
      <c r="V123" s="240">
        <f t="shared" si="55"/>
        <v>0</v>
      </c>
      <c r="W123" s="240"/>
      <c r="X123" s="240"/>
      <c r="Y123" s="240">
        <v>3500000000</v>
      </c>
      <c r="Z123" s="258"/>
      <c r="AA123" s="258"/>
      <c r="AB123" s="241">
        <f t="shared" si="56"/>
        <v>3500000000</v>
      </c>
      <c r="AC123" s="242">
        <f t="shared" si="57"/>
        <v>3500000000</v>
      </c>
      <c r="AD123" s="242">
        <v>3500000000</v>
      </c>
      <c r="AE123" s="258"/>
      <c r="AF123" s="258"/>
      <c r="AG123" s="240"/>
      <c r="AH123" s="240">
        <f t="shared" si="49"/>
        <v>0</v>
      </c>
      <c r="AI123" s="240">
        <f t="shared" si="50"/>
        <v>0</v>
      </c>
      <c r="AJ123" s="240">
        <f t="shared" si="51"/>
        <v>0</v>
      </c>
      <c r="AK123" s="260"/>
      <c r="AL123" s="244"/>
      <c r="AM123" s="236">
        <f t="shared" si="52"/>
        <v>0</v>
      </c>
      <c r="AN123" s="348"/>
    </row>
    <row r="124" spans="1:40" s="262" customFormat="1" ht="19.5" customHeight="1">
      <c r="A124" s="322"/>
      <c r="B124" s="367" t="s">
        <v>1401</v>
      </c>
      <c r="C124" s="250" t="s">
        <v>1355</v>
      </c>
      <c r="D124" s="230">
        <v>2011</v>
      </c>
      <c r="E124" s="300"/>
      <c r="F124" s="235">
        <v>35000</v>
      </c>
      <c r="G124" s="236">
        <v>33826</v>
      </c>
      <c r="H124" s="236">
        <v>16770</v>
      </c>
      <c r="I124" s="240">
        <f t="shared" si="58"/>
        <v>4000</v>
      </c>
      <c r="J124" s="346"/>
      <c r="K124" s="240">
        <v>4000</v>
      </c>
      <c r="L124" s="237"/>
      <c r="M124" s="237"/>
      <c r="N124" s="239">
        <f t="shared" si="54"/>
        <v>4000</v>
      </c>
      <c r="O124" s="239"/>
      <c r="P124" s="239">
        <f t="shared" si="59"/>
        <v>4000</v>
      </c>
      <c r="Q124" s="239">
        <v>4000</v>
      </c>
      <c r="R124" s="239">
        <v>0</v>
      </c>
      <c r="S124" s="239">
        <v>0</v>
      </c>
      <c r="T124" s="257"/>
      <c r="U124" s="254"/>
      <c r="V124" s="240">
        <f t="shared" si="55"/>
        <v>0</v>
      </c>
      <c r="W124" s="240"/>
      <c r="X124" s="240"/>
      <c r="Y124" s="240">
        <v>4000000000</v>
      </c>
      <c r="Z124" s="258"/>
      <c r="AA124" s="258"/>
      <c r="AB124" s="241">
        <f t="shared" si="56"/>
        <v>4000000000</v>
      </c>
      <c r="AC124" s="242">
        <f t="shared" si="57"/>
        <v>4000000000</v>
      </c>
      <c r="AD124" s="240">
        <v>4000000000</v>
      </c>
      <c r="AE124" s="258"/>
      <c r="AF124" s="258"/>
      <c r="AG124" s="240"/>
      <c r="AH124" s="240">
        <f t="shared" si="49"/>
        <v>0</v>
      </c>
      <c r="AI124" s="240">
        <f t="shared" si="50"/>
        <v>0</v>
      </c>
      <c r="AJ124" s="240">
        <f t="shared" si="51"/>
        <v>0</v>
      </c>
      <c r="AK124" s="260"/>
      <c r="AL124" s="244"/>
      <c r="AM124" s="236">
        <f t="shared" si="52"/>
        <v>0</v>
      </c>
      <c r="AN124" s="348"/>
    </row>
    <row r="125" spans="1:40" s="262" customFormat="1" ht="19.5" customHeight="1">
      <c r="A125" s="322"/>
      <c r="B125" s="311" t="s">
        <v>1402</v>
      </c>
      <c r="C125" s="250" t="s">
        <v>1050</v>
      </c>
      <c r="D125" s="230"/>
      <c r="E125" s="300"/>
      <c r="F125" s="235"/>
      <c r="G125" s="236"/>
      <c r="H125" s="236"/>
      <c r="I125" s="240">
        <f t="shared" si="58"/>
        <v>2235</v>
      </c>
      <c r="J125" s="346"/>
      <c r="K125" s="240">
        <v>2235</v>
      </c>
      <c r="L125" s="237"/>
      <c r="M125" s="237"/>
      <c r="N125" s="239">
        <f t="shared" si="54"/>
        <v>2234.3138</v>
      </c>
      <c r="O125" s="239"/>
      <c r="P125" s="239">
        <f t="shared" si="59"/>
        <v>2234.3138</v>
      </c>
      <c r="Q125" s="239">
        <v>2234.3138</v>
      </c>
      <c r="R125" s="239">
        <v>0</v>
      </c>
      <c r="S125" s="239">
        <v>0</v>
      </c>
      <c r="T125" s="257"/>
      <c r="U125" s="254"/>
      <c r="V125" s="240">
        <f t="shared" si="55"/>
        <v>0</v>
      </c>
      <c r="W125" s="240"/>
      <c r="X125" s="240"/>
      <c r="Y125" s="240">
        <v>2235000000</v>
      </c>
      <c r="Z125" s="258"/>
      <c r="AA125" s="258">
        <v>686200</v>
      </c>
      <c r="AB125" s="241">
        <f t="shared" si="56"/>
        <v>2234313800</v>
      </c>
      <c r="AC125" s="242">
        <f t="shared" si="57"/>
        <v>2234313800</v>
      </c>
      <c r="AD125" s="242">
        <v>2234313800</v>
      </c>
      <c r="AE125" s="258"/>
      <c r="AF125" s="258"/>
      <c r="AG125" s="240"/>
      <c r="AH125" s="240">
        <f t="shared" si="49"/>
        <v>0</v>
      </c>
      <c r="AI125" s="240">
        <f t="shared" si="50"/>
        <v>0</v>
      </c>
      <c r="AJ125" s="240">
        <f t="shared" si="51"/>
        <v>0</v>
      </c>
      <c r="AK125" s="260"/>
      <c r="AL125" s="244"/>
      <c r="AM125" s="236">
        <f t="shared" si="52"/>
        <v>0</v>
      </c>
      <c r="AN125" s="368"/>
    </row>
    <row r="126" spans="1:40" s="374" customFormat="1" ht="19.5" customHeight="1">
      <c r="A126" s="322"/>
      <c r="B126" s="369" t="s">
        <v>1403</v>
      </c>
      <c r="C126" s="370" t="s">
        <v>1404</v>
      </c>
      <c r="D126" s="371" t="s">
        <v>1356</v>
      </c>
      <c r="E126" s="372"/>
      <c r="F126" s="318">
        <v>293</v>
      </c>
      <c r="G126" s="318"/>
      <c r="H126" s="318"/>
      <c r="I126" s="240">
        <f t="shared" si="58"/>
        <v>293</v>
      </c>
      <c r="J126" s="373"/>
      <c r="K126" s="240">
        <v>293</v>
      </c>
      <c r="L126" s="237"/>
      <c r="M126" s="237"/>
      <c r="N126" s="239">
        <f t="shared" si="54"/>
        <v>292.5822</v>
      </c>
      <c r="O126" s="239"/>
      <c r="P126" s="239">
        <f t="shared" si="59"/>
        <v>292.5822</v>
      </c>
      <c r="Q126" s="239">
        <v>292.5822</v>
      </c>
      <c r="R126" s="239">
        <v>0</v>
      </c>
      <c r="S126" s="239">
        <v>0</v>
      </c>
      <c r="T126" s="257"/>
      <c r="U126" s="254"/>
      <c r="V126" s="240">
        <f t="shared" si="55"/>
        <v>0</v>
      </c>
      <c r="W126" s="240"/>
      <c r="X126" s="240"/>
      <c r="Y126" s="240">
        <v>293000000</v>
      </c>
      <c r="Z126" s="258"/>
      <c r="AA126" s="258">
        <v>417800</v>
      </c>
      <c r="AB126" s="241">
        <f t="shared" si="56"/>
        <v>292582200</v>
      </c>
      <c r="AC126" s="242">
        <f t="shared" si="57"/>
        <v>292582200</v>
      </c>
      <c r="AD126" s="242">
        <v>292582200</v>
      </c>
      <c r="AE126" s="258"/>
      <c r="AF126" s="258"/>
      <c r="AG126" s="240"/>
      <c r="AH126" s="240">
        <f t="shared" si="49"/>
        <v>0</v>
      </c>
      <c r="AI126" s="240">
        <f t="shared" si="50"/>
        <v>0</v>
      </c>
      <c r="AJ126" s="240">
        <f t="shared" si="51"/>
        <v>0</v>
      </c>
      <c r="AK126" s="258"/>
      <c r="AL126" s="244"/>
      <c r="AM126" s="236">
        <f t="shared" si="52"/>
        <v>0</v>
      </c>
      <c r="AN126" s="364"/>
    </row>
    <row r="127" spans="1:40" s="262" customFormat="1" ht="19.5" customHeight="1">
      <c r="A127" s="322"/>
      <c r="B127" s="299" t="s">
        <v>1405</v>
      </c>
      <c r="C127" s="250" t="s">
        <v>1051</v>
      </c>
      <c r="D127" s="230">
        <v>2011</v>
      </c>
      <c r="E127" s="300"/>
      <c r="F127" s="235">
        <v>7333</v>
      </c>
      <c r="G127" s="236">
        <v>7251</v>
      </c>
      <c r="H127" s="236">
        <v>7150</v>
      </c>
      <c r="I127" s="240">
        <f t="shared" si="58"/>
        <v>80</v>
      </c>
      <c r="J127" s="346"/>
      <c r="K127" s="240">
        <v>80</v>
      </c>
      <c r="L127" s="237"/>
      <c r="M127" s="237"/>
      <c r="N127" s="239">
        <f t="shared" si="54"/>
        <v>79.138</v>
      </c>
      <c r="O127" s="239"/>
      <c r="P127" s="239">
        <f t="shared" si="59"/>
        <v>79.138</v>
      </c>
      <c r="Q127" s="239">
        <v>79.138</v>
      </c>
      <c r="R127" s="239">
        <v>0</v>
      </c>
      <c r="S127" s="239">
        <v>0</v>
      </c>
      <c r="T127" s="257"/>
      <c r="U127" s="254"/>
      <c r="V127" s="240">
        <f t="shared" si="55"/>
        <v>0</v>
      </c>
      <c r="W127" s="240"/>
      <c r="X127" s="240"/>
      <c r="Y127" s="240">
        <v>80000000</v>
      </c>
      <c r="Z127" s="258"/>
      <c r="AA127" s="258">
        <v>862000</v>
      </c>
      <c r="AB127" s="241">
        <f t="shared" si="56"/>
        <v>79138000</v>
      </c>
      <c r="AC127" s="242">
        <f t="shared" si="57"/>
        <v>79138000</v>
      </c>
      <c r="AD127" s="242">
        <v>79138000</v>
      </c>
      <c r="AE127" s="258"/>
      <c r="AF127" s="258"/>
      <c r="AG127" s="240"/>
      <c r="AH127" s="240">
        <f t="shared" si="49"/>
        <v>0</v>
      </c>
      <c r="AI127" s="240">
        <f t="shared" si="50"/>
        <v>0</v>
      </c>
      <c r="AJ127" s="240">
        <f t="shared" si="51"/>
        <v>0</v>
      </c>
      <c r="AK127" s="260"/>
      <c r="AL127" s="244"/>
      <c r="AM127" s="236">
        <f t="shared" si="52"/>
        <v>0</v>
      </c>
      <c r="AN127" s="364"/>
    </row>
    <row r="128" spans="1:40" s="262" customFormat="1" ht="19.5" customHeight="1">
      <c r="A128" s="322"/>
      <c r="B128" s="299" t="s">
        <v>1406</v>
      </c>
      <c r="C128" s="250" t="s">
        <v>1051</v>
      </c>
      <c r="D128" s="230"/>
      <c r="E128" s="300"/>
      <c r="F128" s="235"/>
      <c r="G128" s="236"/>
      <c r="H128" s="236"/>
      <c r="I128" s="240">
        <f t="shared" si="58"/>
        <v>37</v>
      </c>
      <c r="J128" s="346"/>
      <c r="K128" s="240">
        <v>37</v>
      </c>
      <c r="L128" s="237"/>
      <c r="M128" s="237"/>
      <c r="N128" s="239">
        <f t="shared" si="54"/>
        <v>36.384</v>
      </c>
      <c r="O128" s="239"/>
      <c r="P128" s="239">
        <f t="shared" si="59"/>
        <v>36.384</v>
      </c>
      <c r="Q128" s="239">
        <v>36.384</v>
      </c>
      <c r="R128" s="239">
        <v>0</v>
      </c>
      <c r="S128" s="239">
        <v>0</v>
      </c>
      <c r="T128" s="257"/>
      <c r="U128" s="254"/>
      <c r="V128" s="240">
        <f t="shared" si="55"/>
        <v>0</v>
      </c>
      <c r="W128" s="240"/>
      <c r="X128" s="240"/>
      <c r="Y128" s="240">
        <v>37000000</v>
      </c>
      <c r="Z128" s="258"/>
      <c r="AA128" s="258">
        <v>616000</v>
      </c>
      <c r="AB128" s="241">
        <f t="shared" si="56"/>
        <v>36384000</v>
      </c>
      <c r="AC128" s="242">
        <f t="shared" si="57"/>
        <v>36384000</v>
      </c>
      <c r="AD128" s="242">
        <v>36384000</v>
      </c>
      <c r="AE128" s="258"/>
      <c r="AF128" s="258"/>
      <c r="AG128" s="240"/>
      <c r="AH128" s="240">
        <f t="shared" si="49"/>
        <v>0</v>
      </c>
      <c r="AI128" s="240">
        <f t="shared" si="50"/>
        <v>0</v>
      </c>
      <c r="AJ128" s="240">
        <f t="shared" si="51"/>
        <v>0</v>
      </c>
      <c r="AK128" s="260"/>
      <c r="AL128" s="244"/>
      <c r="AM128" s="236">
        <f t="shared" si="52"/>
        <v>0</v>
      </c>
      <c r="AN128" s="348"/>
    </row>
    <row r="129" spans="1:40" s="262" customFormat="1" ht="19.5" customHeight="1">
      <c r="A129" s="322"/>
      <c r="B129" s="311" t="s">
        <v>1407</v>
      </c>
      <c r="C129" s="250" t="s">
        <v>1408</v>
      </c>
      <c r="D129" s="230"/>
      <c r="E129" s="300"/>
      <c r="F129" s="235"/>
      <c r="G129" s="236"/>
      <c r="H129" s="236"/>
      <c r="I129" s="240">
        <f t="shared" si="58"/>
        <v>325</v>
      </c>
      <c r="J129" s="346"/>
      <c r="K129" s="240">
        <v>325</v>
      </c>
      <c r="L129" s="237"/>
      <c r="M129" s="237"/>
      <c r="N129" s="239">
        <f t="shared" si="54"/>
        <v>324.656</v>
      </c>
      <c r="O129" s="239"/>
      <c r="P129" s="239">
        <f t="shared" si="59"/>
        <v>324.656</v>
      </c>
      <c r="Q129" s="239">
        <v>324.656</v>
      </c>
      <c r="R129" s="239">
        <v>0</v>
      </c>
      <c r="S129" s="239">
        <v>0</v>
      </c>
      <c r="T129" s="257"/>
      <c r="U129" s="254"/>
      <c r="V129" s="240">
        <f t="shared" si="55"/>
        <v>0</v>
      </c>
      <c r="W129" s="240"/>
      <c r="X129" s="240"/>
      <c r="Y129" s="240">
        <v>325000000</v>
      </c>
      <c r="Z129" s="258"/>
      <c r="AA129" s="258">
        <v>344000</v>
      </c>
      <c r="AB129" s="241">
        <f t="shared" si="56"/>
        <v>324656000</v>
      </c>
      <c r="AC129" s="242">
        <f t="shared" si="57"/>
        <v>324656000</v>
      </c>
      <c r="AD129" s="242">
        <v>324656000</v>
      </c>
      <c r="AE129" s="258"/>
      <c r="AF129" s="258"/>
      <c r="AG129" s="240"/>
      <c r="AH129" s="240">
        <f t="shared" si="49"/>
        <v>0</v>
      </c>
      <c r="AI129" s="240">
        <f t="shared" si="50"/>
        <v>0</v>
      </c>
      <c r="AJ129" s="240">
        <f t="shared" si="51"/>
        <v>0</v>
      </c>
      <c r="AK129" s="260"/>
      <c r="AL129" s="244"/>
      <c r="AM129" s="236">
        <f t="shared" si="52"/>
        <v>0</v>
      </c>
      <c r="AN129" s="364"/>
    </row>
    <row r="130" spans="1:40" s="262" customFormat="1" ht="29.25" customHeight="1">
      <c r="A130" s="322"/>
      <c r="B130" s="311" t="s">
        <v>1409</v>
      </c>
      <c r="C130" s="250" t="s">
        <v>1408</v>
      </c>
      <c r="D130" s="230"/>
      <c r="E130" s="300"/>
      <c r="F130" s="235"/>
      <c r="G130" s="236"/>
      <c r="H130" s="236"/>
      <c r="I130" s="240">
        <f t="shared" si="58"/>
        <v>89</v>
      </c>
      <c r="J130" s="346"/>
      <c r="K130" s="240">
        <v>89</v>
      </c>
      <c r="L130" s="237"/>
      <c r="M130" s="237"/>
      <c r="N130" s="239">
        <f t="shared" si="54"/>
        <v>88.746</v>
      </c>
      <c r="O130" s="239"/>
      <c r="P130" s="239">
        <f t="shared" si="59"/>
        <v>88.746</v>
      </c>
      <c r="Q130" s="239">
        <v>88.746</v>
      </c>
      <c r="R130" s="239">
        <v>0</v>
      </c>
      <c r="S130" s="239">
        <v>0</v>
      </c>
      <c r="T130" s="257"/>
      <c r="U130" s="254"/>
      <c r="V130" s="240">
        <f t="shared" si="55"/>
        <v>0</v>
      </c>
      <c r="W130" s="240"/>
      <c r="X130" s="240"/>
      <c r="Y130" s="240">
        <v>89000000</v>
      </c>
      <c r="Z130" s="258"/>
      <c r="AA130" s="258">
        <v>254000</v>
      </c>
      <c r="AB130" s="241">
        <f t="shared" si="56"/>
        <v>88746000</v>
      </c>
      <c r="AC130" s="242">
        <f t="shared" si="57"/>
        <v>88746000</v>
      </c>
      <c r="AD130" s="242">
        <v>88746000</v>
      </c>
      <c r="AE130" s="258"/>
      <c r="AF130" s="258"/>
      <c r="AG130" s="240"/>
      <c r="AH130" s="240">
        <f t="shared" si="49"/>
        <v>0</v>
      </c>
      <c r="AI130" s="240">
        <f t="shared" si="50"/>
        <v>0</v>
      </c>
      <c r="AJ130" s="240">
        <f t="shared" si="51"/>
        <v>0</v>
      </c>
      <c r="AK130" s="260"/>
      <c r="AL130" s="244"/>
      <c r="AM130" s="236">
        <f t="shared" si="52"/>
        <v>0</v>
      </c>
      <c r="AN130" s="261"/>
    </row>
    <row r="131" spans="1:40" s="193" customFormat="1" ht="19.5" customHeight="1">
      <c r="A131" s="232"/>
      <c r="B131" s="375" t="s">
        <v>1410</v>
      </c>
      <c r="C131" s="250" t="s">
        <v>1260</v>
      </c>
      <c r="D131" s="230">
        <v>2010</v>
      </c>
      <c r="E131" s="300"/>
      <c r="F131" s="235">
        <v>4830</v>
      </c>
      <c r="G131" s="236">
        <v>4685</v>
      </c>
      <c r="H131" s="236">
        <v>3583</v>
      </c>
      <c r="I131" s="240">
        <f t="shared" si="58"/>
        <v>1100</v>
      </c>
      <c r="J131" s="241"/>
      <c r="K131" s="240">
        <v>1100</v>
      </c>
      <c r="L131" s="237"/>
      <c r="M131" s="237"/>
      <c r="N131" s="239">
        <f t="shared" si="54"/>
        <v>914</v>
      </c>
      <c r="O131" s="239"/>
      <c r="P131" s="239">
        <f t="shared" si="59"/>
        <v>914</v>
      </c>
      <c r="Q131" s="239">
        <v>914</v>
      </c>
      <c r="R131" s="239">
        <v>0</v>
      </c>
      <c r="S131" s="239">
        <v>0</v>
      </c>
      <c r="T131" s="301"/>
      <c r="U131" s="235"/>
      <c r="V131" s="240">
        <f t="shared" si="55"/>
        <v>0</v>
      </c>
      <c r="W131" s="240"/>
      <c r="X131" s="240"/>
      <c r="Y131" s="240">
        <v>1100000000</v>
      </c>
      <c r="Z131" s="302">
        <v>79700000</v>
      </c>
      <c r="AA131" s="302"/>
      <c r="AB131" s="241">
        <f t="shared" si="56"/>
        <v>1179700000</v>
      </c>
      <c r="AC131" s="242">
        <f t="shared" si="57"/>
        <v>914000000</v>
      </c>
      <c r="AD131" s="242">
        <v>914000000</v>
      </c>
      <c r="AE131" s="302"/>
      <c r="AF131" s="302"/>
      <c r="AG131" s="240"/>
      <c r="AH131" s="240">
        <f t="shared" si="49"/>
        <v>265700000</v>
      </c>
      <c r="AI131" s="240">
        <f t="shared" si="50"/>
        <v>0</v>
      </c>
      <c r="AJ131" s="240">
        <f t="shared" si="51"/>
        <v>0</v>
      </c>
      <c r="AK131" s="303"/>
      <c r="AL131" s="244">
        <v>265700000</v>
      </c>
      <c r="AM131" s="236">
        <f t="shared" si="52"/>
        <v>0</v>
      </c>
      <c r="AN131" s="185"/>
    </row>
    <row r="132" spans="1:40" s="262" customFormat="1" ht="19.5" customHeight="1">
      <c r="A132" s="322"/>
      <c r="B132" s="299" t="s">
        <v>1411</v>
      </c>
      <c r="C132" s="250" t="s">
        <v>1051</v>
      </c>
      <c r="D132" s="230"/>
      <c r="E132" s="300"/>
      <c r="F132" s="235"/>
      <c r="G132" s="236"/>
      <c r="H132" s="236"/>
      <c r="I132" s="240">
        <f t="shared" si="58"/>
        <v>0</v>
      </c>
      <c r="J132" s="346"/>
      <c r="K132" s="240">
        <v>0</v>
      </c>
      <c r="L132" s="237"/>
      <c r="M132" s="237"/>
      <c r="N132" s="239">
        <f t="shared" si="54"/>
        <v>0</v>
      </c>
      <c r="O132" s="239"/>
      <c r="P132" s="239">
        <f t="shared" si="59"/>
        <v>0</v>
      </c>
      <c r="Q132" s="239">
        <v>0</v>
      </c>
      <c r="R132" s="239">
        <v>0</v>
      </c>
      <c r="S132" s="239">
        <v>0</v>
      </c>
      <c r="T132" s="257"/>
      <c r="U132" s="254"/>
      <c r="V132" s="240">
        <f t="shared" si="55"/>
        <v>0</v>
      </c>
      <c r="W132" s="240"/>
      <c r="X132" s="240"/>
      <c r="Y132" s="240">
        <v>0</v>
      </c>
      <c r="Z132" s="258"/>
      <c r="AA132" s="258"/>
      <c r="AB132" s="241">
        <f t="shared" si="56"/>
        <v>0</v>
      </c>
      <c r="AC132" s="242">
        <f t="shared" si="57"/>
        <v>0</v>
      </c>
      <c r="AD132" s="258"/>
      <c r="AE132" s="258"/>
      <c r="AF132" s="258"/>
      <c r="AG132" s="240"/>
      <c r="AH132" s="240">
        <f t="shared" si="49"/>
        <v>0</v>
      </c>
      <c r="AI132" s="240">
        <f t="shared" si="50"/>
        <v>0</v>
      </c>
      <c r="AJ132" s="240">
        <f t="shared" si="51"/>
        <v>0</v>
      </c>
      <c r="AK132" s="260"/>
      <c r="AL132" s="244"/>
      <c r="AM132" s="236">
        <f t="shared" si="52"/>
        <v>0</v>
      </c>
      <c r="AN132" s="261"/>
    </row>
    <row r="133" spans="1:40" s="262" customFormat="1" ht="29.25" customHeight="1">
      <c r="A133" s="322"/>
      <c r="B133" s="299" t="s">
        <v>1412</v>
      </c>
      <c r="C133" s="250" t="s">
        <v>1050</v>
      </c>
      <c r="D133" s="230"/>
      <c r="E133" s="300"/>
      <c r="F133" s="235"/>
      <c r="G133" s="236"/>
      <c r="H133" s="236"/>
      <c r="I133" s="240">
        <f t="shared" si="58"/>
        <v>120.02</v>
      </c>
      <c r="J133" s="346"/>
      <c r="K133" s="240">
        <v>120.02</v>
      </c>
      <c r="L133" s="237"/>
      <c r="M133" s="237"/>
      <c r="N133" s="239">
        <f t="shared" si="54"/>
        <v>120.02</v>
      </c>
      <c r="O133" s="239"/>
      <c r="P133" s="239">
        <f t="shared" si="59"/>
        <v>120.02</v>
      </c>
      <c r="Q133" s="239">
        <v>120.02</v>
      </c>
      <c r="R133" s="239">
        <v>0</v>
      </c>
      <c r="S133" s="239">
        <v>0</v>
      </c>
      <c r="T133" s="257"/>
      <c r="U133" s="254"/>
      <c r="V133" s="240">
        <f t="shared" si="55"/>
        <v>0</v>
      </c>
      <c r="W133" s="240"/>
      <c r="X133" s="240"/>
      <c r="Y133" s="240">
        <v>120020000</v>
      </c>
      <c r="Z133" s="258"/>
      <c r="AA133" s="258"/>
      <c r="AB133" s="241">
        <f t="shared" si="56"/>
        <v>120020000</v>
      </c>
      <c r="AC133" s="242">
        <f t="shared" si="57"/>
        <v>120020000</v>
      </c>
      <c r="AD133" s="240">
        <v>120020000</v>
      </c>
      <c r="AE133" s="258"/>
      <c r="AF133" s="258"/>
      <c r="AG133" s="240"/>
      <c r="AH133" s="240">
        <f t="shared" si="49"/>
        <v>0</v>
      </c>
      <c r="AI133" s="240">
        <f t="shared" si="50"/>
        <v>0</v>
      </c>
      <c r="AJ133" s="240">
        <f t="shared" si="51"/>
        <v>0</v>
      </c>
      <c r="AK133" s="260"/>
      <c r="AL133" s="244"/>
      <c r="AM133" s="236">
        <f t="shared" si="52"/>
        <v>0</v>
      </c>
      <c r="AN133" s="313" t="s">
        <v>1347</v>
      </c>
    </row>
    <row r="134" spans="1:40" s="262" customFormat="1" ht="19.5" customHeight="1">
      <c r="A134" s="322"/>
      <c r="B134" s="299" t="s">
        <v>1413</v>
      </c>
      <c r="C134" s="250" t="s">
        <v>1414</v>
      </c>
      <c r="D134" s="230"/>
      <c r="E134" s="300"/>
      <c r="F134" s="235"/>
      <c r="G134" s="236"/>
      <c r="H134" s="236"/>
      <c r="I134" s="240">
        <f t="shared" si="58"/>
        <v>42.14</v>
      </c>
      <c r="J134" s="346"/>
      <c r="K134" s="240">
        <v>42.14</v>
      </c>
      <c r="L134" s="237"/>
      <c r="M134" s="237"/>
      <c r="N134" s="239">
        <f t="shared" si="54"/>
        <v>0</v>
      </c>
      <c r="O134" s="239"/>
      <c r="P134" s="239">
        <f t="shared" si="59"/>
        <v>0</v>
      </c>
      <c r="Q134" s="239">
        <v>0</v>
      </c>
      <c r="R134" s="239">
        <v>0</v>
      </c>
      <c r="S134" s="239">
        <v>0</v>
      </c>
      <c r="T134" s="257"/>
      <c r="U134" s="254"/>
      <c r="V134" s="240">
        <f t="shared" si="55"/>
        <v>0</v>
      </c>
      <c r="W134" s="240"/>
      <c r="X134" s="240"/>
      <c r="Y134" s="240">
        <v>42140000</v>
      </c>
      <c r="Z134" s="258"/>
      <c r="AA134" s="258"/>
      <c r="AB134" s="241">
        <f t="shared" si="56"/>
        <v>42140000</v>
      </c>
      <c r="AC134" s="242">
        <f t="shared" si="57"/>
        <v>0</v>
      </c>
      <c r="AD134" s="258"/>
      <c r="AE134" s="258"/>
      <c r="AF134" s="258"/>
      <c r="AG134" s="240"/>
      <c r="AH134" s="240">
        <f t="shared" si="49"/>
        <v>0</v>
      </c>
      <c r="AI134" s="240">
        <f t="shared" si="50"/>
        <v>0</v>
      </c>
      <c r="AJ134" s="240">
        <f t="shared" si="51"/>
        <v>0</v>
      </c>
      <c r="AK134" s="260"/>
      <c r="AL134" s="244"/>
      <c r="AM134" s="236">
        <f t="shared" si="52"/>
        <v>42140000</v>
      </c>
      <c r="AN134" s="313" t="s">
        <v>1347</v>
      </c>
    </row>
    <row r="135" spans="1:40" s="262" customFormat="1" ht="30" customHeight="1">
      <c r="A135" s="322"/>
      <c r="B135" s="299" t="s">
        <v>1415</v>
      </c>
      <c r="C135" s="250" t="s">
        <v>1416</v>
      </c>
      <c r="D135" s="230"/>
      <c r="E135" s="300"/>
      <c r="F135" s="235"/>
      <c r="G135" s="236"/>
      <c r="H135" s="236"/>
      <c r="I135" s="240">
        <f t="shared" si="58"/>
        <v>4.02</v>
      </c>
      <c r="J135" s="346"/>
      <c r="K135" s="240">
        <v>4.02</v>
      </c>
      <c r="L135" s="237"/>
      <c r="M135" s="237"/>
      <c r="N135" s="239">
        <f t="shared" si="54"/>
        <v>4.02</v>
      </c>
      <c r="O135" s="239"/>
      <c r="P135" s="239">
        <f t="shared" si="59"/>
        <v>4.02</v>
      </c>
      <c r="Q135" s="239">
        <v>4.02</v>
      </c>
      <c r="R135" s="239">
        <v>0</v>
      </c>
      <c r="S135" s="239">
        <v>0</v>
      </c>
      <c r="T135" s="257"/>
      <c r="U135" s="254"/>
      <c r="V135" s="240">
        <f t="shared" si="55"/>
        <v>0</v>
      </c>
      <c r="W135" s="240"/>
      <c r="X135" s="240"/>
      <c r="Y135" s="240">
        <v>4020000</v>
      </c>
      <c r="Z135" s="258"/>
      <c r="AA135" s="258"/>
      <c r="AB135" s="241">
        <f t="shared" si="56"/>
        <v>4020000</v>
      </c>
      <c r="AC135" s="242">
        <f t="shared" si="57"/>
        <v>4020000</v>
      </c>
      <c r="AD135" s="240">
        <v>4020000</v>
      </c>
      <c r="AE135" s="258"/>
      <c r="AF135" s="258"/>
      <c r="AG135" s="240"/>
      <c r="AH135" s="240">
        <f t="shared" si="49"/>
        <v>0</v>
      </c>
      <c r="AI135" s="240">
        <f t="shared" si="50"/>
        <v>0</v>
      </c>
      <c r="AJ135" s="240">
        <f t="shared" si="51"/>
        <v>0</v>
      </c>
      <c r="AK135" s="260"/>
      <c r="AL135" s="244"/>
      <c r="AM135" s="236">
        <f t="shared" si="52"/>
        <v>0</v>
      </c>
      <c r="AN135" s="313" t="s">
        <v>1347</v>
      </c>
    </row>
    <row r="136" spans="1:40" s="262" customFormat="1" ht="31.5" customHeight="1">
      <c r="A136" s="322"/>
      <c r="B136" s="299" t="s">
        <v>1417</v>
      </c>
      <c r="C136" s="250" t="s">
        <v>1416</v>
      </c>
      <c r="D136" s="230"/>
      <c r="E136" s="300"/>
      <c r="F136" s="235"/>
      <c r="G136" s="236"/>
      <c r="H136" s="236"/>
      <c r="I136" s="240">
        <f t="shared" si="58"/>
        <v>4.13</v>
      </c>
      <c r="J136" s="346"/>
      <c r="K136" s="240">
        <v>4.13</v>
      </c>
      <c r="L136" s="237"/>
      <c r="M136" s="237"/>
      <c r="N136" s="239">
        <f t="shared" si="54"/>
        <v>4.129</v>
      </c>
      <c r="O136" s="239"/>
      <c r="P136" s="239">
        <f t="shared" si="59"/>
        <v>4.129</v>
      </c>
      <c r="Q136" s="239">
        <v>4.129</v>
      </c>
      <c r="R136" s="239">
        <v>0</v>
      </c>
      <c r="S136" s="239">
        <v>0</v>
      </c>
      <c r="T136" s="257"/>
      <c r="U136" s="254"/>
      <c r="V136" s="240">
        <f t="shared" si="55"/>
        <v>0</v>
      </c>
      <c r="W136" s="240"/>
      <c r="X136" s="240"/>
      <c r="Y136" s="240">
        <v>4130000</v>
      </c>
      <c r="Z136" s="258"/>
      <c r="AA136" s="258"/>
      <c r="AB136" s="241">
        <f t="shared" si="56"/>
        <v>4130000</v>
      </c>
      <c r="AC136" s="242">
        <f t="shared" si="57"/>
        <v>4129000</v>
      </c>
      <c r="AD136" s="312">
        <v>4129000</v>
      </c>
      <c r="AE136" s="258"/>
      <c r="AF136" s="258"/>
      <c r="AG136" s="240"/>
      <c r="AH136" s="240">
        <f t="shared" si="49"/>
        <v>0</v>
      </c>
      <c r="AI136" s="240">
        <f t="shared" si="50"/>
        <v>0</v>
      </c>
      <c r="AJ136" s="240">
        <f t="shared" si="51"/>
        <v>0</v>
      </c>
      <c r="AK136" s="260"/>
      <c r="AL136" s="244"/>
      <c r="AM136" s="236">
        <f t="shared" si="52"/>
        <v>1000</v>
      </c>
      <c r="AN136" s="313" t="s">
        <v>1347</v>
      </c>
    </row>
    <row r="137" spans="1:40" s="262" customFormat="1" ht="19.5" customHeight="1">
      <c r="A137" s="322"/>
      <c r="B137" s="299" t="s">
        <v>1418</v>
      </c>
      <c r="C137" s="250" t="s">
        <v>1393</v>
      </c>
      <c r="D137" s="230"/>
      <c r="E137" s="300"/>
      <c r="F137" s="235"/>
      <c r="G137" s="236"/>
      <c r="H137" s="236"/>
      <c r="I137" s="240">
        <f t="shared" si="58"/>
        <v>6.69</v>
      </c>
      <c r="J137" s="346"/>
      <c r="K137" s="240">
        <v>6.69</v>
      </c>
      <c r="L137" s="237"/>
      <c r="M137" s="237"/>
      <c r="N137" s="239">
        <f t="shared" si="54"/>
        <v>6.686</v>
      </c>
      <c r="O137" s="239"/>
      <c r="P137" s="239">
        <f t="shared" si="59"/>
        <v>6.686</v>
      </c>
      <c r="Q137" s="239">
        <v>6.686</v>
      </c>
      <c r="R137" s="239">
        <v>0</v>
      </c>
      <c r="S137" s="239">
        <v>0</v>
      </c>
      <c r="T137" s="257"/>
      <c r="U137" s="254"/>
      <c r="V137" s="240">
        <f t="shared" si="55"/>
        <v>0</v>
      </c>
      <c r="W137" s="240"/>
      <c r="X137" s="240"/>
      <c r="Y137" s="240">
        <v>6690000</v>
      </c>
      <c r="Z137" s="258"/>
      <c r="AA137" s="258"/>
      <c r="AB137" s="241">
        <f t="shared" si="56"/>
        <v>6690000</v>
      </c>
      <c r="AC137" s="242">
        <f t="shared" si="57"/>
        <v>6686000</v>
      </c>
      <c r="AD137" s="312">
        <v>6686000</v>
      </c>
      <c r="AE137" s="258"/>
      <c r="AF137" s="258"/>
      <c r="AG137" s="240"/>
      <c r="AH137" s="240">
        <f t="shared" si="49"/>
        <v>0</v>
      </c>
      <c r="AI137" s="240">
        <f t="shared" si="50"/>
        <v>0</v>
      </c>
      <c r="AJ137" s="240">
        <f t="shared" si="51"/>
        <v>0</v>
      </c>
      <c r="AK137" s="260"/>
      <c r="AL137" s="244"/>
      <c r="AM137" s="236">
        <f t="shared" si="52"/>
        <v>4000</v>
      </c>
      <c r="AN137" s="313" t="s">
        <v>1347</v>
      </c>
    </row>
    <row r="138" spans="1:40" s="262" customFormat="1" ht="19.5" customHeight="1">
      <c r="A138" s="322"/>
      <c r="B138" s="299" t="s">
        <v>1419</v>
      </c>
      <c r="C138" s="250" t="s">
        <v>1416</v>
      </c>
      <c r="D138" s="230"/>
      <c r="E138" s="300"/>
      <c r="F138" s="235"/>
      <c r="G138" s="236"/>
      <c r="H138" s="236"/>
      <c r="I138" s="240">
        <f t="shared" si="58"/>
        <v>173.82</v>
      </c>
      <c r="J138" s="346"/>
      <c r="K138" s="240">
        <v>173.82</v>
      </c>
      <c r="L138" s="237"/>
      <c r="M138" s="237"/>
      <c r="N138" s="239">
        <f t="shared" si="54"/>
        <v>173.813</v>
      </c>
      <c r="O138" s="239"/>
      <c r="P138" s="239">
        <f t="shared" si="59"/>
        <v>173.813</v>
      </c>
      <c r="Q138" s="239">
        <v>173.813</v>
      </c>
      <c r="R138" s="239">
        <v>0</v>
      </c>
      <c r="S138" s="239">
        <v>0</v>
      </c>
      <c r="T138" s="257"/>
      <c r="U138" s="254"/>
      <c r="V138" s="240">
        <f t="shared" si="55"/>
        <v>0</v>
      </c>
      <c r="W138" s="240"/>
      <c r="X138" s="240"/>
      <c r="Y138" s="240">
        <v>173820000</v>
      </c>
      <c r="Z138" s="258"/>
      <c r="AA138" s="258"/>
      <c r="AB138" s="241">
        <f t="shared" si="56"/>
        <v>173820000</v>
      </c>
      <c r="AC138" s="242">
        <f t="shared" si="57"/>
        <v>173813000</v>
      </c>
      <c r="AD138" s="312">
        <v>173813000</v>
      </c>
      <c r="AE138" s="258"/>
      <c r="AF138" s="258"/>
      <c r="AG138" s="240"/>
      <c r="AH138" s="240">
        <f t="shared" si="49"/>
        <v>0</v>
      </c>
      <c r="AI138" s="240">
        <f t="shared" si="50"/>
        <v>0</v>
      </c>
      <c r="AJ138" s="240">
        <f t="shared" si="51"/>
        <v>0</v>
      </c>
      <c r="AK138" s="260"/>
      <c r="AL138" s="244"/>
      <c r="AM138" s="236">
        <f t="shared" si="52"/>
        <v>7000</v>
      </c>
      <c r="AN138" s="313" t="s">
        <v>1347</v>
      </c>
    </row>
    <row r="139" spans="1:40" s="262" customFormat="1" ht="30.75" customHeight="1">
      <c r="A139" s="322"/>
      <c r="B139" s="299" t="s">
        <v>1420</v>
      </c>
      <c r="C139" s="250" t="s">
        <v>1408</v>
      </c>
      <c r="D139" s="230"/>
      <c r="E139" s="300"/>
      <c r="F139" s="235"/>
      <c r="G139" s="236"/>
      <c r="H139" s="236"/>
      <c r="I139" s="240">
        <f t="shared" si="58"/>
        <v>189.72</v>
      </c>
      <c r="J139" s="346"/>
      <c r="K139" s="240">
        <v>189.72</v>
      </c>
      <c r="L139" s="237"/>
      <c r="M139" s="237"/>
      <c r="N139" s="239">
        <f t="shared" si="54"/>
        <v>189.7101</v>
      </c>
      <c r="O139" s="239"/>
      <c r="P139" s="239">
        <f t="shared" si="59"/>
        <v>189.7101</v>
      </c>
      <c r="Q139" s="239">
        <v>189.7101</v>
      </c>
      <c r="R139" s="239">
        <v>0</v>
      </c>
      <c r="S139" s="239">
        <v>0</v>
      </c>
      <c r="T139" s="257"/>
      <c r="U139" s="254"/>
      <c r="V139" s="240">
        <f t="shared" si="55"/>
        <v>0</v>
      </c>
      <c r="W139" s="240"/>
      <c r="X139" s="240"/>
      <c r="Y139" s="240">
        <v>189720000</v>
      </c>
      <c r="Z139" s="258"/>
      <c r="AA139" s="258"/>
      <c r="AB139" s="241">
        <f t="shared" si="56"/>
        <v>189720000</v>
      </c>
      <c r="AC139" s="242">
        <f t="shared" si="57"/>
        <v>189710100</v>
      </c>
      <c r="AD139" s="312">
        <v>189710100</v>
      </c>
      <c r="AE139" s="258"/>
      <c r="AF139" s="258"/>
      <c r="AG139" s="240"/>
      <c r="AH139" s="240">
        <f t="shared" si="49"/>
        <v>0</v>
      </c>
      <c r="AI139" s="240">
        <f t="shared" si="50"/>
        <v>0</v>
      </c>
      <c r="AJ139" s="240">
        <f t="shared" si="51"/>
        <v>0</v>
      </c>
      <c r="AK139" s="260"/>
      <c r="AL139" s="244"/>
      <c r="AM139" s="236">
        <f t="shared" si="52"/>
        <v>9900</v>
      </c>
      <c r="AN139" s="313" t="s">
        <v>1347</v>
      </c>
    </row>
    <row r="140" spans="1:40" s="262" customFormat="1" ht="19.5" customHeight="1">
      <c r="A140" s="322"/>
      <c r="B140" s="299" t="s">
        <v>1421</v>
      </c>
      <c r="C140" s="250" t="s">
        <v>1414</v>
      </c>
      <c r="D140" s="230"/>
      <c r="E140" s="300"/>
      <c r="F140" s="235"/>
      <c r="G140" s="236"/>
      <c r="H140" s="236"/>
      <c r="I140" s="240">
        <f t="shared" si="58"/>
        <v>4.46</v>
      </c>
      <c r="J140" s="346"/>
      <c r="K140" s="240">
        <v>4.46</v>
      </c>
      <c r="L140" s="237"/>
      <c r="M140" s="237"/>
      <c r="N140" s="239">
        <f t="shared" si="54"/>
        <v>4.456</v>
      </c>
      <c r="O140" s="239"/>
      <c r="P140" s="239">
        <f t="shared" si="59"/>
        <v>4.456</v>
      </c>
      <c r="Q140" s="239">
        <v>4.456</v>
      </c>
      <c r="R140" s="239">
        <v>0</v>
      </c>
      <c r="S140" s="239">
        <v>0</v>
      </c>
      <c r="T140" s="257"/>
      <c r="U140" s="254"/>
      <c r="V140" s="240">
        <f t="shared" si="55"/>
        <v>0</v>
      </c>
      <c r="W140" s="240"/>
      <c r="X140" s="240"/>
      <c r="Y140" s="240">
        <v>4460000</v>
      </c>
      <c r="Z140" s="258"/>
      <c r="AA140" s="258"/>
      <c r="AB140" s="241">
        <f t="shared" si="56"/>
        <v>4460000</v>
      </c>
      <c r="AC140" s="242">
        <f t="shared" si="57"/>
        <v>4456000</v>
      </c>
      <c r="AD140" s="312">
        <v>4456000</v>
      </c>
      <c r="AE140" s="258"/>
      <c r="AF140" s="258"/>
      <c r="AG140" s="240"/>
      <c r="AH140" s="240">
        <f t="shared" si="49"/>
        <v>0</v>
      </c>
      <c r="AI140" s="240">
        <f t="shared" si="50"/>
        <v>0</v>
      </c>
      <c r="AJ140" s="240">
        <f t="shared" si="51"/>
        <v>0</v>
      </c>
      <c r="AK140" s="260"/>
      <c r="AL140" s="244"/>
      <c r="AM140" s="236">
        <f t="shared" si="52"/>
        <v>4000</v>
      </c>
      <c r="AN140" s="313" t="s">
        <v>1347</v>
      </c>
    </row>
    <row r="141" spans="1:40" s="262" customFormat="1" ht="19.5" customHeight="1">
      <c r="A141" s="322"/>
      <c r="B141" s="311" t="s">
        <v>1422</v>
      </c>
      <c r="C141" s="250"/>
      <c r="D141" s="250"/>
      <c r="E141" s="300"/>
      <c r="F141" s="235"/>
      <c r="G141" s="236"/>
      <c r="H141" s="236"/>
      <c r="I141" s="240"/>
      <c r="J141" s="241"/>
      <c r="K141" s="240"/>
      <c r="L141" s="237"/>
      <c r="M141" s="237"/>
      <c r="N141" s="239">
        <v>2495</v>
      </c>
      <c r="O141" s="239"/>
      <c r="P141" s="239">
        <f t="shared" si="59"/>
        <v>2495</v>
      </c>
      <c r="Q141" s="239">
        <v>2495</v>
      </c>
      <c r="R141" s="239"/>
      <c r="S141" s="239"/>
      <c r="T141" s="301"/>
      <c r="U141" s="235"/>
      <c r="V141" s="240"/>
      <c r="W141" s="240"/>
      <c r="X141" s="240"/>
      <c r="Y141" s="240"/>
      <c r="Z141" s="258"/>
      <c r="AA141" s="258"/>
      <c r="AB141" s="241"/>
      <c r="AC141" s="242"/>
      <c r="AD141" s="312"/>
      <c r="AE141" s="258"/>
      <c r="AF141" s="258"/>
      <c r="AG141" s="240"/>
      <c r="AH141" s="240"/>
      <c r="AI141" s="240"/>
      <c r="AJ141" s="240"/>
      <c r="AK141" s="260"/>
      <c r="AL141" s="244"/>
      <c r="AM141" s="236"/>
      <c r="AN141" s="313"/>
    </row>
    <row r="142" spans="1:40" s="262" customFormat="1" ht="19.5" customHeight="1">
      <c r="A142" s="322"/>
      <c r="B142" s="311" t="s">
        <v>1423</v>
      </c>
      <c r="C142" s="250"/>
      <c r="D142" s="250"/>
      <c r="E142" s="300"/>
      <c r="F142" s="235"/>
      <c r="G142" s="236"/>
      <c r="H142" s="236"/>
      <c r="I142" s="240"/>
      <c r="J142" s="241"/>
      <c r="K142" s="240"/>
      <c r="L142" s="237"/>
      <c r="M142" s="237"/>
      <c r="N142" s="239">
        <v>1130</v>
      </c>
      <c r="O142" s="239"/>
      <c r="P142" s="239">
        <f t="shared" si="59"/>
        <v>1130</v>
      </c>
      <c r="Q142" s="239">
        <v>1130</v>
      </c>
      <c r="R142" s="239"/>
      <c r="S142" s="239"/>
      <c r="T142" s="301"/>
      <c r="U142" s="235"/>
      <c r="V142" s="240"/>
      <c r="W142" s="240"/>
      <c r="X142" s="240"/>
      <c r="Y142" s="240"/>
      <c r="Z142" s="258"/>
      <c r="AA142" s="258"/>
      <c r="AB142" s="241"/>
      <c r="AC142" s="242"/>
      <c r="AD142" s="312"/>
      <c r="AE142" s="258"/>
      <c r="AF142" s="258"/>
      <c r="AG142" s="240"/>
      <c r="AH142" s="240"/>
      <c r="AI142" s="240"/>
      <c r="AJ142" s="240"/>
      <c r="AK142" s="260"/>
      <c r="AL142" s="244"/>
      <c r="AM142" s="236"/>
      <c r="AN142" s="313"/>
    </row>
    <row r="143" spans="1:41" s="376" customFormat="1" ht="19.5" customHeight="1">
      <c r="A143" s="288" t="s">
        <v>1424</v>
      </c>
      <c r="B143" s="287" t="s">
        <v>1425</v>
      </c>
      <c r="C143" s="288"/>
      <c r="D143" s="288"/>
      <c r="E143" s="289"/>
      <c r="F143" s="291"/>
      <c r="G143" s="291"/>
      <c r="H143" s="291"/>
      <c r="I143" s="282">
        <f>SUM(I144,I147)</f>
        <v>10750.8</v>
      </c>
      <c r="J143" s="282">
        <f aca="true" t="shared" si="60" ref="J143:AO143">SUM(J144,J147)</f>
        <v>0</v>
      </c>
      <c r="K143" s="282">
        <f t="shared" si="60"/>
        <v>10750.8</v>
      </c>
      <c r="L143" s="282">
        <f t="shared" si="60"/>
        <v>0</v>
      </c>
      <c r="M143" s="282">
        <f t="shared" si="60"/>
        <v>0</v>
      </c>
      <c r="N143" s="282">
        <f t="shared" si="60"/>
        <v>10588.587</v>
      </c>
      <c r="O143" s="282">
        <f t="shared" si="60"/>
        <v>0</v>
      </c>
      <c r="P143" s="282">
        <f t="shared" si="60"/>
        <v>10588.587</v>
      </c>
      <c r="Q143" s="282">
        <f t="shared" si="60"/>
        <v>10579.757000000001</v>
      </c>
      <c r="R143" s="282">
        <f t="shared" si="60"/>
        <v>8.83</v>
      </c>
      <c r="S143" s="282">
        <f t="shared" si="60"/>
        <v>0</v>
      </c>
      <c r="T143" s="282">
        <f t="shared" si="60"/>
        <v>0</v>
      </c>
      <c r="U143" s="282">
        <f t="shared" si="60"/>
        <v>0</v>
      </c>
      <c r="V143" s="282">
        <f t="shared" si="60"/>
        <v>0</v>
      </c>
      <c r="W143" s="282">
        <f t="shared" si="60"/>
        <v>0</v>
      </c>
      <c r="X143" s="282">
        <f t="shared" si="60"/>
        <v>0</v>
      </c>
      <c r="Y143" s="282">
        <f t="shared" si="60"/>
        <v>6048000000</v>
      </c>
      <c r="Z143" s="282">
        <f t="shared" si="60"/>
        <v>0</v>
      </c>
      <c r="AA143" s="282">
        <f t="shared" si="60"/>
        <v>351000</v>
      </c>
      <c r="AB143" s="282">
        <f t="shared" si="60"/>
        <v>6047649000</v>
      </c>
      <c r="AC143" s="282">
        <f t="shared" si="60"/>
        <v>5876965000</v>
      </c>
      <c r="AD143" s="282">
        <f t="shared" si="60"/>
        <v>5876965000</v>
      </c>
      <c r="AE143" s="282">
        <f t="shared" si="60"/>
        <v>0</v>
      </c>
      <c r="AF143" s="282">
        <f t="shared" si="60"/>
        <v>0</v>
      </c>
      <c r="AG143" s="282">
        <f t="shared" si="60"/>
        <v>0</v>
      </c>
      <c r="AH143" s="282">
        <f t="shared" si="60"/>
        <v>170684000</v>
      </c>
      <c r="AI143" s="282">
        <f t="shared" si="60"/>
        <v>170684000</v>
      </c>
      <c r="AJ143" s="282">
        <f t="shared" si="60"/>
        <v>0</v>
      </c>
      <c r="AK143" s="282">
        <f t="shared" si="60"/>
        <v>170684000</v>
      </c>
      <c r="AL143" s="282">
        <f t="shared" si="60"/>
        <v>0</v>
      </c>
      <c r="AM143" s="282">
        <f t="shared" si="60"/>
        <v>0</v>
      </c>
      <c r="AN143" s="282">
        <f t="shared" si="60"/>
        <v>0</v>
      </c>
      <c r="AO143" s="282">
        <f t="shared" si="60"/>
        <v>0</v>
      </c>
    </row>
    <row r="144" spans="1:40" s="376" customFormat="1" ht="19.5" customHeight="1">
      <c r="A144" s="288"/>
      <c r="B144" s="287" t="s">
        <v>1327</v>
      </c>
      <c r="C144" s="288"/>
      <c r="D144" s="288"/>
      <c r="E144" s="289"/>
      <c r="F144" s="290"/>
      <c r="G144" s="291"/>
      <c r="H144" s="291"/>
      <c r="I144" s="282">
        <f>SUM(I145:I146)</f>
        <v>4648</v>
      </c>
      <c r="J144" s="282">
        <f aca="true" t="shared" si="61" ref="J144:U144">SUM(J145:J146)</f>
        <v>0</v>
      </c>
      <c r="K144" s="282">
        <f t="shared" si="61"/>
        <v>4648</v>
      </c>
      <c r="L144" s="282">
        <f t="shared" si="61"/>
        <v>0</v>
      </c>
      <c r="M144" s="282"/>
      <c r="N144" s="282">
        <f t="shared" si="61"/>
        <v>4648</v>
      </c>
      <c r="O144" s="282">
        <f t="shared" si="61"/>
        <v>0</v>
      </c>
      <c r="P144" s="282">
        <f t="shared" si="61"/>
        <v>4648</v>
      </c>
      <c r="Q144" s="282">
        <f t="shared" si="61"/>
        <v>4648</v>
      </c>
      <c r="R144" s="282">
        <f t="shared" si="61"/>
        <v>0</v>
      </c>
      <c r="S144" s="282">
        <f t="shared" si="61"/>
        <v>0</v>
      </c>
      <c r="T144" s="282">
        <f t="shared" si="61"/>
        <v>0</v>
      </c>
      <c r="U144" s="282">
        <f t="shared" si="61"/>
        <v>0</v>
      </c>
      <c r="V144" s="240"/>
      <c r="W144" s="240"/>
      <c r="X144" s="240"/>
      <c r="Y144" s="240"/>
      <c r="Z144" s="292"/>
      <c r="AA144" s="292"/>
      <c r="AB144" s="292"/>
      <c r="AC144" s="242">
        <f aca="true" t="shared" si="62" ref="AC144:AC157">AD144+AE144+AF144</f>
        <v>0</v>
      </c>
      <c r="AD144" s="292"/>
      <c r="AE144" s="292"/>
      <c r="AF144" s="292"/>
      <c r="AG144" s="240"/>
      <c r="AH144" s="240">
        <f aca="true" t="shared" si="63" ref="AH144:AH157">AI144+AL144</f>
        <v>0</v>
      </c>
      <c r="AI144" s="240">
        <f aca="true" t="shared" si="64" ref="AI144:AI157">SUM(AJ144:AK144)</f>
        <v>0</v>
      </c>
      <c r="AJ144" s="240">
        <f aca="true" t="shared" si="65" ref="AJ144:AJ157">W144-AF144-AG144</f>
        <v>0</v>
      </c>
      <c r="AK144" s="292"/>
      <c r="AL144" s="244"/>
      <c r="AM144" s="236">
        <f aca="true" t="shared" si="66" ref="AM144:AM157">AB144-AD144-AE144-AK144-AL144</f>
        <v>0</v>
      </c>
      <c r="AN144" s="377"/>
    </row>
    <row r="145" spans="1:40" s="338" customFormat="1" ht="19.5" customHeight="1">
      <c r="A145" s="230"/>
      <c r="B145" s="311" t="s">
        <v>1426</v>
      </c>
      <c r="C145" s="250" t="s">
        <v>1050</v>
      </c>
      <c r="D145" s="319" t="s">
        <v>1427</v>
      </c>
      <c r="E145" s="350"/>
      <c r="F145" s="235">
        <v>27200</v>
      </c>
      <c r="G145" s="236">
        <v>27200</v>
      </c>
      <c r="H145" s="236">
        <v>18295</v>
      </c>
      <c r="I145" s="237">
        <f>K145+M145</f>
        <v>4117</v>
      </c>
      <c r="J145" s="238"/>
      <c r="K145" s="237">
        <v>4117</v>
      </c>
      <c r="L145" s="237"/>
      <c r="M145" s="237"/>
      <c r="N145" s="239">
        <f aca="true" t="shared" si="67" ref="N145:N157">Q145+R145+S145</f>
        <v>4117</v>
      </c>
      <c r="O145" s="239"/>
      <c r="P145" s="239">
        <f>SUM(Q145:S145)</f>
        <v>4117</v>
      </c>
      <c r="Q145" s="239">
        <v>4117</v>
      </c>
      <c r="R145" s="239">
        <v>0</v>
      </c>
      <c r="S145" s="239">
        <v>0</v>
      </c>
      <c r="T145" s="301"/>
      <c r="U145" s="235"/>
      <c r="V145" s="240">
        <f>W145+X145</f>
        <v>0</v>
      </c>
      <c r="W145" s="240"/>
      <c r="X145" s="240"/>
      <c r="Y145" s="240">
        <v>4117000000</v>
      </c>
      <c r="Z145" s="302"/>
      <c r="AA145" s="302"/>
      <c r="AB145" s="241">
        <f>Y145+Z145-AA145+X145</f>
        <v>4117000000</v>
      </c>
      <c r="AC145" s="242">
        <f t="shared" si="62"/>
        <v>4117000000</v>
      </c>
      <c r="AD145" s="240">
        <v>4117000000</v>
      </c>
      <c r="AE145" s="302"/>
      <c r="AF145" s="302"/>
      <c r="AG145" s="240"/>
      <c r="AH145" s="240">
        <f t="shared" si="63"/>
        <v>0</v>
      </c>
      <c r="AI145" s="240">
        <f t="shared" si="64"/>
        <v>0</v>
      </c>
      <c r="AJ145" s="240">
        <f t="shared" si="65"/>
        <v>0</v>
      </c>
      <c r="AK145" s="336"/>
      <c r="AL145" s="244"/>
      <c r="AM145" s="236">
        <f t="shared" si="66"/>
        <v>0</v>
      </c>
      <c r="AN145" s="245"/>
    </row>
    <row r="146" spans="1:40" s="338" customFormat="1" ht="19.5" customHeight="1">
      <c r="A146" s="230"/>
      <c r="B146" s="311" t="s">
        <v>1428</v>
      </c>
      <c r="C146" s="250"/>
      <c r="D146" s="319"/>
      <c r="E146" s="350"/>
      <c r="F146" s="235"/>
      <c r="G146" s="236"/>
      <c r="H146" s="236"/>
      <c r="I146" s="237">
        <f>K146+M146</f>
        <v>531</v>
      </c>
      <c r="J146" s="238"/>
      <c r="K146" s="237">
        <v>531</v>
      </c>
      <c r="L146" s="237"/>
      <c r="M146" s="237"/>
      <c r="N146" s="239">
        <f t="shared" si="67"/>
        <v>531</v>
      </c>
      <c r="O146" s="239"/>
      <c r="P146" s="239">
        <f>SUM(Q146:S146)</f>
        <v>531</v>
      </c>
      <c r="Q146" s="239">
        <v>531</v>
      </c>
      <c r="R146" s="239">
        <v>0</v>
      </c>
      <c r="S146" s="239">
        <v>0</v>
      </c>
      <c r="T146" s="301"/>
      <c r="U146" s="235"/>
      <c r="V146" s="240">
        <f>W146+X146</f>
        <v>0</v>
      </c>
      <c r="W146" s="240"/>
      <c r="X146" s="240"/>
      <c r="Y146" s="240">
        <v>531000000</v>
      </c>
      <c r="Z146" s="302"/>
      <c r="AA146" s="302"/>
      <c r="AB146" s="241">
        <f>Y146+Z146-AA146+X146</f>
        <v>531000000</v>
      </c>
      <c r="AC146" s="242">
        <f t="shared" si="62"/>
        <v>531000000</v>
      </c>
      <c r="AD146" s="312">
        <v>531000000</v>
      </c>
      <c r="AE146" s="302"/>
      <c r="AF146" s="302"/>
      <c r="AG146" s="240"/>
      <c r="AH146" s="240">
        <f t="shared" si="63"/>
        <v>0</v>
      </c>
      <c r="AI146" s="240">
        <f t="shared" si="64"/>
        <v>0</v>
      </c>
      <c r="AJ146" s="240">
        <f t="shared" si="65"/>
        <v>0</v>
      </c>
      <c r="AK146" s="336"/>
      <c r="AL146" s="244"/>
      <c r="AM146" s="236">
        <f t="shared" si="66"/>
        <v>0</v>
      </c>
      <c r="AN146" s="378" t="s">
        <v>1429</v>
      </c>
    </row>
    <row r="147" spans="1:41" s="310" customFormat="1" ht="19.5" customHeight="1">
      <c r="A147" s="304"/>
      <c r="B147" s="287" t="s">
        <v>1329</v>
      </c>
      <c r="C147" s="304"/>
      <c r="D147" s="304"/>
      <c r="E147" s="305"/>
      <c r="F147" s="306"/>
      <c r="G147" s="244"/>
      <c r="H147" s="244"/>
      <c r="I147" s="282">
        <f aca="true" t="shared" si="68" ref="I147:U147">SUM(I148:I157)</f>
        <v>6102.8</v>
      </c>
      <c r="J147" s="282">
        <f t="shared" si="68"/>
        <v>0</v>
      </c>
      <c r="K147" s="282">
        <f t="shared" si="68"/>
        <v>6102.8</v>
      </c>
      <c r="L147" s="282">
        <f t="shared" si="68"/>
        <v>0</v>
      </c>
      <c r="M147" s="282">
        <f t="shared" si="68"/>
        <v>0</v>
      </c>
      <c r="N147" s="282">
        <f t="shared" si="68"/>
        <v>5940.587</v>
      </c>
      <c r="O147" s="282">
        <f t="shared" si="68"/>
        <v>0</v>
      </c>
      <c r="P147" s="282">
        <f t="shared" si="68"/>
        <v>5940.587</v>
      </c>
      <c r="Q147" s="282">
        <f t="shared" si="68"/>
        <v>5931.7570000000005</v>
      </c>
      <c r="R147" s="282">
        <f t="shared" si="68"/>
        <v>8.83</v>
      </c>
      <c r="S147" s="282">
        <f t="shared" si="68"/>
        <v>0</v>
      </c>
      <c r="T147" s="282">
        <f t="shared" si="68"/>
        <v>0</v>
      </c>
      <c r="U147" s="282">
        <f t="shared" si="68"/>
        <v>0</v>
      </c>
      <c r="V147" s="237">
        <f aca="true" t="shared" si="69" ref="V147:AO147">SUM(V149:V157)</f>
        <v>0</v>
      </c>
      <c r="W147" s="237">
        <f t="shared" si="69"/>
        <v>0</v>
      </c>
      <c r="X147" s="237">
        <f t="shared" si="69"/>
        <v>0</v>
      </c>
      <c r="Y147" s="237">
        <f t="shared" si="69"/>
        <v>6048000000</v>
      </c>
      <c r="Z147" s="237">
        <f t="shared" si="69"/>
        <v>0</v>
      </c>
      <c r="AA147" s="237">
        <f t="shared" si="69"/>
        <v>351000</v>
      </c>
      <c r="AB147" s="237">
        <f t="shared" si="69"/>
        <v>6047649000</v>
      </c>
      <c r="AC147" s="237">
        <f t="shared" si="69"/>
        <v>5876965000</v>
      </c>
      <c r="AD147" s="237">
        <f t="shared" si="69"/>
        <v>5876965000</v>
      </c>
      <c r="AE147" s="237">
        <f t="shared" si="69"/>
        <v>0</v>
      </c>
      <c r="AF147" s="237">
        <f t="shared" si="69"/>
        <v>0</v>
      </c>
      <c r="AG147" s="237">
        <f t="shared" si="69"/>
        <v>0</v>
      </c>
      <c r="AH147" s="237">
        <f t="shared" si="69"/>
        <v>170684000</v>
      </c>
      <c r="AI147" s="237">
        <f t="shared" si="69"/>
        <v>170684000</v>
      </c>
      <c r="AJ147" s="237">
        <f t="shared" si="69"/>
        <v>0</v>
      </c>
      <c r="AK147" s="237">
        <f t="shared" si="69"/>
        <v>170684000</v>
      </c>
      <c r="AL147" s="237">
        <f t="shared" si="69"/>
        <v>0</v>
      </c>
      <c r="AM147" s="237">
        <f t="shared" si="69"/>
        <v>0</v>
      </c>
      <c r="AN147" s="237">
        <f t="shared" si="69"/>
        <v>0</v>
      </c>
      <c r="AO147" s="237">
        <f t="shared" si="69"/>
        <v>0</v>
      </c>
    </row>
    <row r="148" spans="1:41" s="310" customFormat="1" ht="19.5" customHeight="1">
      <c r="A148" s="304"/>
      <c r="B148" s="379" t="s">
        <v>1430</v>
      </c>
      <c r="C148" s="354" t="s">
        <v>1393</v>
      </c>
      <c r="D148" s="380"/>
      <c r="E148" s="381"/>
      <c r="F148" s="357"/>
      <c r="G148" s="358"/>
      <c r="H148" s="358"/>
      <c r="I148" s="359">
        <f>K148+M148</f>
        <v>54.8</v>
      </c>
      <c r="J148" s="382"/>
      <c r="K148" s="359">
        <v>54.8</v>
      </c>
      <c r="L148" s="359"/>
      <c r="M148" s="359"/>
      <c r="N148" s="361">
        <f>Q148+R148+S148</f>
        <v>54.792</v>
      </c>
      <c r="O148" s="361"/>
      <c r="P148" s="239">
        <f>SUM(Q148:S148)</f>
        <v>54.792</v>
      </c>
      <c r="Q148" s="361">
        <v>54.792</v>
      </c>
      <c r="R148" s="361">
        <v>0</v>
      </c>
      <c r="S148" s="361">
        <v>0</v>
      </c>
      <c r="T148" s="383"/>
      <c r="U148" s="357"/>
      <c r="V148" s="237"/>
      <c r="W148" s="237"/>
      <c r="X148" s="237"/>
      <c r="Y148" s="237"/>
      <c r="Z148" s="237"/>
      <c r="AA148" s="237"/>
      <c r="AB148" s="237"/>
      <c r="AC148" s="237"/>
      <c r="AD148" s="237"/>
      <c r="AE148" s="237"/>
      <c r="AF148" s="237"/>
      <c r="AG148" s="237"/>
      <c r="AH148" s="237"/>
      <c r="AI148" s="237"/>
      <c r="AJ148" s="237"/>
      <c r="AK148" s="237"/>
      <c r="AL148" s="237"/>
      <c r="AM148" s="237"/>
      <c r="AN148" s="190"/>
      <c r="AO148" s="190"/>
    </row>
    <row r="149" spans="1:40" s="340" customFormat="1" ht="27.75" customHeight="1">
      <c r="A149" s="322"/>
      <c r="B149" s="311" t="s">
        <v>1431</v>
      </c>
      <c r="C149" s="250" t="s">
        <v>1341</v>
      </c>
      <c r="D149" s="250">
        <v>2014</v>
      </c>
      <c r="E149" s="350"/>
      <c r="F149" s="235">
        <v>1800</v>
      </c>
      <c r="G149" s="236">
        <v>1799</v>
      </c>
      <c r="H149" s="236"/>
      <c r="I149" s="237">
        <f aca="true" t="shared" si="70" ref="I149:I157">K149+M149</f>
        <v>480</v>
      </c>
      <c r="J149" s="256"/>
      <c r="K149" s="237">
        <v>480</v>
      </c>
      <c r="L149" s="237"/>
      <c r="M149" s="237"/>
      <c r="N149" s="239">
        <f t="shared" si="67"/>
        <v>443.012</v>
      </c>
      <c r="O149" s="239"/>
      <c r="P149" s="239">
        <f>SUM(Q149:S149)</f>
        <v>443.012</v>
      </c>
      <c r="Q149" s="239">
        <v>443.012</v>
      </c>
      <c r="R149" s="239">
        <v>0</v>
      </c>
      <c r="S149" s="239">
        <v>0</v>
      </c>
      <c r="T149" s="257"/>
      <c r="U149" s="254"/>
      <c r="V149" s="240">
        <f aca="true" t="shared" si="71" ref="V149:V157">W149+X149</f>
        <v>0</v>
      </c>
      <c r="W149" s="240"/>
      <c r="X149" s="240"/>
      <c r="Y149" s="240">
        <v>480000000</v>
      </c>
      <c r="Z149" s="258"/>
      <c r="AA149" s="258"/>
      <c r="AB149" s="241">
        <f aca="true" t="shared" si="72" ref="AB149:AB157">Y149+Z149-AA149+X149</f>
        <v>480000000</v>
      </c>
      <c r="AC149" s="242">
        <f t="shared" si="62"/>
        <v>443012000</v>
      </c>
      <c r="AD149" s="242">
        <v>443012000</v>
      </c>
      <c r="AE149" s="258"/>
      <c r="AF149" s="258"/>
      <c r="AG149" s="240"/>
      <c r="AH149" s="240">
        <f t="shared" si="63"/>
        <v>36988000</v>
      </c>
      <c r="AI149" s="240">
        <f t="shared" si="64"/>
        <v>36988000</v>
      </c>
      <c r="AJ149" s="240">
        <f t="shared" si="65"/>
        <v>0</v>
      </c>
      <c r="AK149" s="341">
        <v>36988000</v>
      </c>
      <c r="AL149" s="244"/>
      <c r="AM149" s="236">
        <f t="shared" si="66"/>
        <v>0</v>
      </c>
      <c r="AN149" s="339"/>
    </row>
    <row r="150" spans="1:40" s="340" customFormat="1" ht="34.5" customHeight="1">
      <c r="A150" s="322"/>
      <c r="B150" s="311" t="s">
        <v>1432</v>
      </c>
      <c r="C150" s="232" t="s">
        <v>1341</v>
      </c>
      <c r="D150" s="250">
        <v>2014</v>
      </c>
      <c r="E150" s="350"/>
      <c r="F150" s="235">
        <v>1500</v>
      </c>
      <c r="G150" s="236">
        <v>1494</v>
      </c>
      <c r="H150" s="236"/>
      <c r="I150" s="237">
        <f t="shared" si="70"/>
        <v>380</v>
      </c>
      <c r="J150" s="256"/>
      <c r="K150" s="237">
        <v>380</v>
      </c>
      <c r="L150" s="237"/>
      <c r="M150" s="237"/>
      <c r="N150" s="239">
        <f t="shared" si="67"/>
        <v>350.62</v>
      </c>
      <c r="O150" s="239"/>
      <c r="P150" s="239">
        <f aca="true" t="shared" si="73" ref="P150:P157">SUM(Q150:S150)</f>
        <v>350.62</v>
      </c>
      <c r="Q150" s="239">
        <v>350.62</v>
      </c>
      <c r="R150" s="239">
        <v>0</v>
      </c>
      <c r="S150" s="239">
        <v>0</v>
      </c>
      <c r="T150" s="257"/>
      <c r="U150" s="254"/>
      <c r="V150" s="240">
        <f t="shared" si="71"/>
        <v>0</v>
      </c>
      <c r="W150" s="240"/>
      <c r="X150" s="240"/>
      <c r="Y150" s="240">
        <v>380000000</v>
      </c>
      <c r="Z150" s="258"/>
      <c r="AA150" s="258"/>
      <c r="AB150" s="241">
        <f t="shared" si="72"/>
        <v>380000000</v>
      </c>
      <c r="AC150" s="242">
        <f t="shared" si="62"/>
        <v>350620000</v>
      </c>
      <c r="AD150" s="242">
        <v>350620000</v>
      </c>
      <c r="AE150" s="258"/>
      <c r="AF150" s="258"/>
      <c r="AG150" s="240"/>
      <c r="AH150" s="240">
        <f t="shared" si="63"/>
        <v>29380000</v>
      </c>
      <c r="AI150" s="240">
        <f t="shared" si="64"/>
        <v>29380000</v>
      </c>
      <c r="AJ150" s="240">
        <f t="shared" si="65"/>
        <v>0</v>
      </c>
      <c r="AK150" s="341">
        <v>29380000</v>
      </c>
      <c r="AL150" s="244"/>
      <c r="AM150" s="236">
        <f t="shared" si="66"/>
        <v>0</v>
      </c>
      <c r="AN150" s="339"/>
    </row>
    <row r="151" spans="1:40" s="340" customFormat="1" ht="19.5" customHeight="1">
      <c r="A151" s="252"/>
      <c r="B151" s="311" t="s">
        <v>1492</v>
      </c>
      <c r="C151" s="250" t="s">
        <v>1493</v>
      </c>
      <c r="D151" s="250">
        <v>2014</v>
      </c>
      <c r="E151" s="350"/>
      <c r="F151" s="235">
        <v>3200</v>
      </c>
      <c r="G151" s="236">
        <v>3188</v>
      </c>
      <c r="H151" s="236"/>
      <c r="I151" s="237">
        <f t="shared" si="70"/>
        <v>754</v>
      </c>
      <c r="J151" s="256"/>
      <c r="K151" s="237">
        <v>754</v>
      </c>
      <c r="L151" s="237"/>
      <c r="M151" s="237"/>
      <c r="N151" s="239">
        <f t="shared" si="67"/>
        <v>722.626</v>
      </c>
      <c r="O151" s="239"/>
      <c r="P151" s="239">
        <f t="shared" si="73"/>
        <v>722.626</v>
      </c>
      <c r="Q151" s="239">
        <v>722.626</v>
      </c>
      <c r="R151" s="239">
        <v>0</v>
      </c>
      <c r="S151" s="239">
        <v>0</v>
      </c>
      <c r="T151" s="257"/>
      <c r="U151" s="254"/>
      <c r="V151" s="240">
        <f t="shared" si="71"/>
        <v>0</v>
      </c>
      <c r="W151" s="240"/>
      <c r="X151" s="240"/>
      <c r="Y151" s="240">
        <v>754000000</v>
      </c>
      <c r="Z151" s="258"/>
      <c r="AA151" s="258"/>
      <c r="AB151" s="241">
        <f t="shared" si="72"/>
        <v>754000000</v>
      </c>
      <c r="AC151" s="242">
        <f t="shared" si="62"/>
        <v>722626000</v>
      </c>
      <c r="AD151" s="242">
        <v>722626000</v>
      </c>
      <c r="AE151" s="258"/>
      <c r="AF151" s="258"/>
      <c r="AG151" s="240"/>
      <c r="AH151" s="240">
        <f t="shared" si="63"/>
        <v>31374000</v>
      </c>
      <c r="AI151" s="240">
        <f t="shared" si="64"/>
        <v>31374000</v>
      </c>
      <c r="AJ151" s="240">
        <f t="shared" si="65"/>
        <v>0</v>
      </c>
      <c r="AK151" s="341">
        <v>31374000</v>
      </c>
      <c r="AL151" s="244"/>
      <c r="AM151" s="236">
        <f t="shared" si="66"/>
        <v>0</v>
      </c>
      <c r="AN151" s="339"/>
    </row>
    <row r="152" spans="1:40" s="340" customFormat="1" ht="30" customHeight="1">
      <c r="A152" s="322"/>
      <c r="B152" s="311" t="s">
        <v>1494</v>
      </c>
      <c r="C152" s="250" t="s">
        <v>1493</v>
      </c>
      <c r="D152" s="250">
        <v>2014</v>
      </c>
      <c r="E152" s="350"/>
      <c r="F152" s="235">
        <v>2400</v>
      </c>
      <c r="G152" s="236">
        <v>2116</v>
      </c>
      <c r="H152" s="236"/>
      <c r="I152" s="237">
        <f t="shared" si="70"/>
        <v>580</v>
      </c>
      <c r="J152" s="256"/>
      <c r="K152" s="237">
        <v>580</v>
      </c>
      <c r="L152" s="237"/>
      <c r="M152" s="237"/>
      <c r="N152" s="239">
        <f t="shared" si="67"/>
        <v>535.78</v>
      </c>
      <c r="O152" s="239"/>
      <c r="P152" s="239">
        <f t="shared" si="73"/>
        <v>535.78</v>
      </c>
      <c r="Q152" s="239">
        <v>535.78</v>
      </c>
      <c r="R152" s="239">
        <v>0</v>
      </c>
      <c r="S152" s="239">
        <v>0</v>
      </c>
      <c r="T152" s="257"/>
      <c r="U152" s="254"/>
      <c r="V152" s="240">
        <f t="shared" si="71"/>
        <v>0</v>
      </c>
      <c r="W152" s="240"/>
      <c r="X152" s="240"/>
      <c r="Y152" s="240">
        <v>580000000</v>
      </c>
      <c r="Z152" s="258"/>
      <c r="AA152" s="258"/>
      <c r="AB152" s="241">
        <f t="shared" si="72"/>
        <v>580000000</v>
      </c>
      <c r="AC152" s="242">
        <f t="shared" si="62"/>
        <v>535780000</v>
      </c>
      <c r="AD152" s="242">
        <v>535780000</v>
      </c>
      <c r="AE152" s="258"/>
      <c r="AF152" s="258"/>
      <c r="AG152" s="240"/>
      <c r="AH152" s="240">
        <f t="shared" si="63"/>
        <v>44220000</v>
      </c>
      <c r="AI152" s="240">
        <f t="shared" si="64"/>
        <v>44220000</v>
      </c>
      <c r="AJ152" s="240">
        <f t="shared" si="65"/>
        <v>0</v>
      </c>
      <c r="AK152" s="341">
        <v>44220000</v>
      </c>
      <c r="AL152" s="244"/>
      <c r="AM152" s="236">
        <f t="shared" si="66"/>
        <v>0</v>
      </c>
      <c r="AN152" s="339"/>
    </row>
    <row r="153" spans="1:40" s="340" customFormat="1" ht="19.5" customHeight="1">
      <c r="A153" s="252"/>
      <c r="B153" s="311" t="s">
        <v>1495</v>
      </c>
      <c r="C153" s="250" t="s">
        <v>1493</v>
      </c>
      <c r="D153" s="250">
        <v>2014</v>
      </c>
      <c r="E153" s="350"/>
      <c r="F153" s="235">
        <v>1000</v>
      </c>
      <c r="G153" s="236">
        <v>997</v>
      </c>
      <c r="H153" s="236"/>
      <c r="I153" s="237">
        <f t="shared" si="70"/>
        <v>300</v>
      </c>
      <c r="J153" s="256"/>
      <c r="K153" s="237">
        <v>300</v>
      </c>
      <c r="L153" s="237"/>
      <c r="M153" s="237"/>
      <c r="N153" s="239">
        <f t="shared" si="67"/>
        <v>300</v>
      </c>
      <c r="O153" s="239"/>
      <c r="P153" s="239">
        <f t="shared" si="73"/>
        <v>300</v>
      </c>
      <c r="Q153" s="239">
        <v>300</v>
      </c>
      <c r="R153" s="239">
        <v>0</v>
      </c>
      <c r="S153" s="239">
        <v>0</v>
      </c>
      <c r="T153" s="257"/>
      <c r="U153" s="254"/>
      <c r="V153" s="240">
        <f t="shared" si="71"/>
        <v>0</v>
      </c>
      <c r="W153" s="240"/>
      <c r="X153" s="240"/>
      <c r="Y153" s="240">
        <v>300000000</v>
      </c>
      <c r="Z153" s="258"/>
      <c r="AA153" s="258"/>
      <c r="AB153" s="241">
        <f t="shared" si="72"/>
        <v>300000000</v>
      </c>
      <c r="AC153" s="242">
        <f t="shared" si="62"/>
        <v>300000000</v>
      </c>
      <c r="AD153" s="242">
        <v>300000000</v>
      </c>
      <c r="AE153" s="258"/>
      <c r="AF153" s="258"/>
      <c r="AG153" s="240"/>
      <c r="AH153" s="240">
        <f t="shared" si="63"/>
        <v>0</v>
      </c>
      <c r="AI153" s="240">
        <f t="shared" si="64"/>
        <v>0</v>
      </c>
      <c r="AJ153" s="240">
        <f t="shared" si="65"/>
        <v>0</v>
      </c>
      <c r="AK153" s="242">
        <v>0</v>
      </c>
      <c r="AL153" s="244"/>
      <c r="AM153" s="236">
        <f t="shared" si="66"/>
        <v>0</v>
      </c>
      <c r="AN153" s="339"/>
    </row>
    <row r="154" spans="1:40" s="327" customFormat="1" ht="19.5" customHeight="1">
      <c r="A154" s="322"/>
      <c r="B154" s="231" t="s">
        <v>1496</v>
      </c>
      <c r="C154" s="250" t="s">
        <v>1393</v>
      </c>
      <c r="D154" s="230" t="s">
        <v>1497</v>
      </c>
      <c r="E154" s="300"/>
      <c r="F154" s="235">
        <v>1500</v>
      </c>
      <c r="G154" s="236">
        <v>1403</v>
      </c>
      <c r="H154" s="318"/>
      <c r="I154" s="237">
        <f t="shared" si="70"/>
        <v>380</v>
      </c>
      <c r="J154" s="324"/>
      <c r="K154" s="237">
        <v>380</v>
      </c>
      <c r="L154" s="237"/>
      <c r="M154" s="237"/>
      <c r="N154" s="239">
        <f t="shared" si="67"/>
        <v>351.278</v>
      </c>
      <c r="O154" s="239"/>
      <c r="P154" s="239">
        <f t="shared" si="73"/>
        <v>351.278</v>
      </c>
      <c r="Q154" s="239">
        <v>351.278</v>
      </c>
      <c r="R154" s="239">
        <v>0</v>
      </c>
      <c r="S154" s="239">
        <v>0</v>
      </c>
      <c r="T154" s="257"/>
      <c r="U154" s="254"/>
      <c r="V154" s="240">
        <f t="shared" si="71"/>
        <v>0</v>
      </c>
      <c r="W154" s="240"/>
      <c r="X154" s="240"/>
      <c r="Y154" s="240">
        <v>380000000</v>
      </c>
      <c r="Z154" s="258"/>
      <c r="AA154" s="258"/>
      <c r="AB154" s="241">
        <f t="shared" si="72"/>
        <v>380000000</v>
      </c>
      <c r="AC154" s="242">
        <f t="shared" si="62"/>
        <v>351278000</v>
      </c>
      <c r="AD154" s="242">
        <v>351278000</v>
      </c>
      <c r="AE154" s="258"/>
      <c r="AF154" s="258"/>
      <c r="AG154" s="240"/>
      <c r="AH154" s="240">
        <f t="shared" si="63"/>
        <v>28722000</v>
      </c>
      <c r="AI154" s="240">
        <f t="shared" si="64"/>
        <v>28722000</v>
      </c>
      <c r="AJ154" s="240">
        <f t="shared" si="65"/>
        <v>0</v>
      </c>
      <c r="AK154" s="341">
        <v>28722000</v>
      </c>
      <c r="AL154" s="244"/>
      <c r="AM154" s="236">
        <f t="shared" si="66"/>
        <v>0</v>
      </c>
      <c r="AN154" s="326"/>
    </row>
    <row r="155" spans="1:40" s="340" customFormat="1" ht="19.5" customHeight="1">
      <c r="A155" s="252"/>
      <c r="B155" s="311" t="s">
        <v>1498</v>
      </c>
      <c r="C155" s="250" t="s">
        <v>1359</v>
      </c>
      <c r="D155" s="319" t="s">
        <v>1356</v>
      </c>
      <c r="E155" s="350" t="s">
        <v>1499</v>
      </c>
      <c r="F155" s="235">
        <v>12874</v>
      </c>
      <c r="G155" s="236">
        <v>7175</v>
      </c>
      <c r="H155" s="236">
        <v>6301</v>
      </c>
      <c r="I155" s="237">
        <f t="shared" si="70"/>
        <v>2600</v>
      </c>
      <c r="J155" s="256"/>
      <c r="K155" s="237">
        <v>2600</v>
      </c>
      <c r="L155" s="237"/>
      <c r="M155" s="237"/>
      <c r="N155" s="239">
        <f t="shared" si="67"/>
        <v>2600</v>
      </c>
      <c r="O155" s="239"/>
      <c r="P155" s="239">
        <f t="shared" si="73"/>
        <v>2600</v>
      </c>
      <c r="Q155" s="239">
        <v>2600</v>
      </c>
      <c r="R155" s="239">
        <v>0</v>
      </c>
      <c r="S155" s="239">
        <v>0</v>
      </c>
      <c r="T155" s="257"/>
      <c r="U155" s="254"/>
      <c r="V155" s="240">
        <f t="shared" si="71"/>
        <v>0</v>
      </c>
      <c r="W155" s="240"/>
      <c r="X155" s="240"/>
      <c r="Y155" s="240">
        <v>2600000000</v>
      </c>
      <c r="Z155" s="258"/>
      <c r="AA155" s="258"/>
      <c r="AB155" s="241">
        <f t="shared" si="72"/>
        <v>2600000000</v>
      </c>
      <c r="AC155" s="242">
        <f t="shared" si="62"/>
        <v>2600000000</v>
      </c>
      <c r="AD155" s="240">
        <v>2600000000</v>
      </c>
      <c r="AE155" s="258"/>
      <c r="AF155" s="258"/>
      <c r="AG155" s="240"/>
      <c r="AH155" s="240">
        <f t="shared" si="63"/>
        <v>0</v>
      </c>
      <c r="AI155" s="240">
        <f t="shared" si="64"/>
        <v>0</v>
      </c>
      <c r="AJ155" s="240">
        <f t="shared" si="65"/>
        <v>0</v>
      </c>
      <c r="AK155" s="325"/>
      <c r="AL155" s="244"/>
      <c r="AM155" s="236">
        <f t="shared" si="66"/>
        <v>0</v>
      </c>
      <c r="AN155" s="339"/>
    </row>
    <row r="156" spans="1:40" s="340" customFormat="1" ht="19.5" customHeight="1">
      <c r="A156" s="252"/>
      <c r="B156" s="311" t="s">
        <v>1500</v>
      </c>
      <c r="C156" s="250" t="s">
        <v>1393</v>
      </c>
      <c r="D156" s="319"/>
      <c r="E156" s="350"/>
      <c r="F156" s="235"/>
      <c r="G156" s="236"/>
      <c r="H156" s="236"/>
      <c r="I156" s="237"/>
      <c r="J156" s="256"/>
      <c r="K156" s="237"/>
      <c r="L156" s="237"/>
      <c r="M156" s="237"/>
      <c r="N156" s="239">
        <f t="shared" si="67"/>
        <v>8.83</v>
      </c>
      <c r="O156" s="239"/>
      <c r="P156" s="239">
        <f t="shared" si="73"/>
        <v>8.83</v>
      </c>
      <c r="Q156" s="239"/>
      <c r="R156" s="239">
        <v>8.83</v>
      </c>
      <c r="S156" s="239"/>
      <c r="T156" s="257"/>
      <c r="U156" s="254"/>
      <c r="V156" s="240"/>
      <c r="W156" s="240"/>
      <c r="X156" s="240"/>
      <c r="Y156" s="240"/>
      <c r="Z156" s="258"/>
      <c r="AA156" s="258"/>
      <c r="AB156" s="241"/>
      <c r="AC156" s="242"/>
      <c r="AD156" s="240"/>
      <c r="AE156" s="258"/>
      <c r="AF156" s="258"/>
      <c r="AG156" s="240"/>
      <c r="AH156" s="240"/>
      <c r="AI156" s="240"/>
      <c r="AJ156" s="240"/>
      <c r="AK156" s="325"/>
      <c r="AL156" s="244"/>
      <c r="AM156" s="236"/>
      <c r="AN156" s="339"/>
    </row>
    <row r="157" spans="1:40" s="384" customFormat="1" ht="19.5" customHeight="1">
      <c r="A157" s="252"/>
      <c r="B157" s="311" t="s">
        <v>1501</v>
      </c>
      <c r="C157" s="250" t="s">
        <v>1050</v>
      </c>
      <c r="D157" s="250"/>
      <c r="E157" s="300"/>
      <c r="F157" s="235"/>
      <c r="G157" s="236"/>
      <c r="H157" s="236"/>
      <c r="I157" s="237">
        <f t="shared" si="70"/>
        <v>574</v>
      </c>
      <c r="J157" s="256"/>
      <c r="K157" s="237">
        <v>574</v>
      </c>
      <c r="L157" s="237"/>
      <c r="M157" s="237"/>
      <c r="N157" s="239">
        <f t="shared" si="67"/>
        <v>573.649</v>
      </c>
      <c r="O157" s="239"/>
      <c r="P157" s="239">
        <f t="shared" si="73"/>
        <v>573.649</v>
      </c>
      <c r="Q157" s="239">
        <v>573.649</v>
      </c>
      <c r="R157" s="239">
        <v>0</v>
      </c>
      <c r="S157" s="239">
        <v>0</v>
      </c>
      <c r="T157" s="257"/>
      <c r="U157" s="254"/>
      <c r="V157" s="240">
        <f t="shared" si="71"/>
        <v>0</v>
      </c>
      <c r="W157" s="240"/>
      <c r="X157" s="240"/>
      <c r="Y157" s="240">
        <v>574000000</v>
      </c>
      <c r="Z157" s="258"/>
      <c r="AA157" s="258">
        <v>351000</v>
      </c>
      <c r="AB157" s="241">
        <f t="shared" si="72"/>
        <v>573649000</v>
      </c>
      <c r="AC157" s="242">
        <f t="shared" si="62"/>
        <v>573649000</v>
      </c>
      <c r="AD157" s="258">
        <v>573649000</v>
      </c>
      <c r="AE157" s="258"/>
      <c r="AF157" s="258"/>
      <c r="AG157" s="240"/>
      <c r="AH157" s="240">
        <f t="shared" si="63"/>
        <v>0</v>
      </c>
      <c r="AI157" s="240">
        <f t="shared" si="64"/>
        <v>0</v>
      </c>
      <c r="AJ157" s="240">
        <f t="shared" si="65"/>
        <v>0</v>
      </c>
      <c r="AK157" s="258"/>
      <c r="AL157" s="244"/>
      <c r="AM157" s="236">
        <f t="shared" si="66"/>
        <v>0</v>
      </c>
      <c r="AN157" s="261"/>
    </row>
    <row r="158" spans="1:40" s="390" customFormat="1" ht="19.5" customHeight="1">
      <c r="A158" s="275" t="s">
        <v>1502</v>
      </c>
      <c r="B158" s="385" t="s">
        <v>1503</v>
      </c>
      <c r="C158" s="386"/>
      <c r="D158" s="386"/>
      <c r="E158" s="387"/>
      <c r="F158" s="280"/>
      <c r="G158" s="281"/>
      <c r="H158" s="281"/>
      <c r="I158" s="282">
        <f>SUM(I159)</f>
        <v>9000</v>
      </c>
      <c r="J158" s="282">
        <f aca="true" t="shared" si="74" ref="J158:U158">SUM(J159)</f>
        <v>0</v>
      </c>
      <c r="K158" s="282">
        <f t="shared" si="74"/>
        <v>9000</v>
      </c>
      <c r="L158" s="282">
        <f t="shared" si="74"/>
        <v>0</v>
      </c>
      <c r="M158" s="282">
        <f t="shared" si="74"/>
        <v>0</v>
      </c>
      <c r="N158" s="282">
        <f t="shared" si="74"/>
        <v>8393.622</v>
      </c>
      <c r="O158" s="282">
        <f t="shared" si="74"/>
        <v>0</v>
      </c>
      <c r="P158" s="282">
        <f t="shared" si="74"/>
        <v>8393.622</v>
      </c>
      <c r="Q158" s="282">
        <f t="shared" si="74"/>
        <v>8363.622</v>
      </c>
      <c r="R158" s="282">
        <f t="shared" si="74"/>
        <v>0</v>
      </c>
      <c r="S158" s="282">
        <f t="shared" si="74"/>
        <v>30</v>
      </c>
      <c r="T158" s="282">
        <f t="shared" si="74"/>
        <v>0</v>
      </c>
      <c r="U158" s="282">
        <f t="shared" si="74"/>
        <v>0</v>
      </c>
      <c r="V158" s="388">
        <f aca="true" t="shared" si="75" ref="V158:AH158">SUM(V159:V168)</f>
        <v>0</v>
      </c>
      <c r="W158" s="388">
        <f t="shared" si="75"/>
        <v>0</v>
      </c>
      <c r="X158" s="388">
        <f t="shared" si="75"/>
        <v>0</v>
      </c>
      <c r="Y158" s="388">
        <f t="shared" si="75"/>
        <v>18000000000</v>
      </c>
      <c r="Z158" s="388">
        <f>SUM(Z159:Z168)</f>
        <v>0</v>
      </c>
      <c r="AA158" s="388">
        <f>SUM(AA159:AA168)</f>
        <v>58336000</v>
      </c>
      <c r="AB158" s="388">
        <f>SUM(AB159:AB168)</f>
        <v>17941664000</v>
      </c>
      <c r="AC158" s="388">
        <f t="shared" si="75"/>
        <v>16727244000</v>
      </c>
      <c r="AD158" s="388">
        <f t="shared" si="75"/>
        <v>16727244000</v>
      </c>
      <c r="AE158" s="388">
        <f t="shared" si="75"/>
        <v>0</v>
      </c>
      <c r="AF158" s="388">
        <f t="shared" si="75"/>
        <v>0</v>
      </c>
      <c r="AG158" s="388">
        <f t="shared" si="75"/>
        <v>0</v>
      </c>
      <c r="AH158" s="388">
        <f t="shared" si="75"/>
        <v>1214420000</v>
      </c>
      <c r="AI158" s="388">
        <f>SUM(AI159:AI168)</f>
        <v>0</v>
      </c>
      <c r="AJ158" s="388">
        <f>SUM(AJ159:AJ168)</f>
        <v>0</v>
      </c>
      <c r="AK158" s="388">
        <f>SUM(AK159:AK168)</f>
        <v>0</v>
      </c>
      <c r="AL158" s="281">
        <f>SUM(AL159:AL168)</f>
        <v>1214420000</v>
      </c>
      <c r="AM158" s="281">
        <f>SUM(AM159:AM168)</f>
        <v>0</v>
      </c>
      <c r="AN158" s="389"/>
    </row>
    <row r="159" spans="1:41" s="395" customFormat="1" ht="19.5" customHeight="1">
      <c r="A159" s="275"/>
      <c r="B159" s="287" t="s">
        <v>1329</v>
      </c>
      <c r="C159" s="391"/>
      <c r="D159" s="391"/>
      <c r="E159" s="392"/>
      <c r="F159" s="393"/>
      <c r="G159" s="394"/>
      <c r="H159" s="394"/>
      <c r="I159" s="282">
        <f>SUM(I160:I168)</f>
        <v>9000</v>
      </c>
      <c r="J159" s="282">
        <f aca="true" t="shared" si="76" ref="J159:AO159">SUM(J160:J168)</f>
        <v>0</v>
      </c>
      <c r="K159" s="282">
        <f t="shared" si="76"/>
        <v>9000</v>
      </c>
      <c r="L159" s="282">
        <f t="shared" si="76"/>
        <v>0</v>
      </c>
      <c r="M159" s="282">
        <f t="shared" si="76"/>
        <v>0</v>
      </c>
      <c r="N159" s="282">
        <f t="shared" si="76"/>
        <v>8393.622</v>
      </c>
      <c r="O159" s="282">
        <f t="shared" si="76"/>
        <v>0</v>
      </c>
      <c r="P159" s="282">
        <f t="shared" si="76"/>
        <v>8393.622</v>
      </c>
      <c r="Q159" s="282">
        <f t="shared" si="76"/>
        <v>8363.622</v>
      </c>
      <c r="R159" s="282">
        <f t="shared" si="76"/>
        <v>0</v>
      </c>
      <c r="S159" s="282">
        <f t="shared" si="76"/>
        <v>30</v>
      </c>
      <c r="T159" s="282">
        <f t="shared" si="76"/>
        <v>0</v>
      </c>
      <c r="U159" s="282">
        <f t="shared" si="76"/>
        <v>0</v>
      </c>
      <c r="V159" s="282">
        <f t="shared" si="76"/>
        <v>0</v>
      </c>
      <c r="W159" s="282">
        <f t="shared" si="76"/>
        <v>0</v>
      </c>
      <c r="X159" s="282">
        <f t="shared" si="76"/>
        <v>0</v>
      </c>
      <c r="Y159" s="282">
        <f t="shared" si="76"/>
        <v>9000000000</v>
      </c>
      <c r="Z159" s="282">
        <f t="shared" si="76"/>
        <v>0</v>
      </c>
      <c r="AA159" s="282">
        <f t="shared" si="76"/>
        <v>29168000</v>
      </c>
      <c r="AB159" s="282">
        <f t="shared" si="76"/>
        <v>8970832000</v>
      </c>
      <c r="AC159" s="282">
        <f t="shared" si="76"/>
        <v>8363622000</v>
      </c>
      <c r="AD159" s="282">
        <f t="shared" si="76"/>
        <v>8363622000</v>
      </c>
      <c r="AE159" s="282">
        <f t="shared" si="76"/>
        <v>0</v>
      </c>
      <c r="AF159" s="282">
        <f t="shared" si="76"/>
        <v>0</v>
      </c>
      <c r="AG159" s="282">
        <f t="shared" si="76"/>
        <v>0</v>
      </c>
      <c r="AH159" s="282">
        <f t="shared" si="76"/>
        <v>607210000</v>
      </c>
      <c r="AI159" s="282">
        <f t="shared" si="76"/>
        <v>0</v>
      </c>
      <c r="AJ159" s="282">
        <f t="shared" si="76"/>
        <v>0</v>
      </c>
      <c r="AK159" s="282">
        <f t="shared" si="76"/>
        <v>0</v>
      </c>
      <c r="AL159" s="282">
        <f t="shared" si="76"/>
        <v>607210000</v>
      </c>
      <c r="AM159" s="282">
        <f t="shared" si="76"/>
        <v>0</v>
      </c>
      <c r="AN159" s="282">
        <f t="shared" si="76"/>
        <v>0</v>
      </c>
      <c r="AO159" s="282">
        <f t="shared" si="76"/>
        <v>0</v>
      </c>
    </row>
    <row r="160" spans="1:40" s="395" customFormat="1" ht="19.5" customHeight="1">
      <c r="A160" s="275"/>
      <c r="B160" s="396" t="s">
        <v>1504</v>
      </c>
      <c r="C160" s="397"/>
      <c r="D160" s="397"/>
      <c r="E160" s="398"/>
      <c r="F160" s="267"/>
      <c r="G160" s="268"/>
      <c r="H160" s="268"/>
      <c r="I160" s="237"/>
      <c r="J160" s="237"/>
      <c r="K160" s="237"/>
      <c r="L160" s="237"/>
      <c r="M160" s="237"/>
      <c r="N160" s="237">
        <f>SUM(P160,U160)</f>
        <v>30</v>
      </c>
      <c r="O160" s="237"/>
      <c r="P160" s="237">
        <f>SUM(Q160:S160)</f>
        <v>30</v>
      </c>
      <c r="Q160" s="237"/>
      <c r="R160" s="237"/>
      <c r="S160" s="237">
        <v>30</v>
      </c>
      <c r="T160" s="237"/>
      <c r="U160" s="267"/>
      <c r="V160" s="240"/>
      <c r="W160" s="240"/>
      <c r="X160" s="240"/>
      <c r="Y160" s="240"/>
      <c r="Z160" s="399"/>
      <c r="AA160" s="399"/>
      <c r="AB160" s="399"/>
      <c r="AC160" s="242"/>
      <c r="AD160" s="399"/>
      <c r="AE160" s="399"/>
      <c r="AF160" s="399"/>
      <c r="AG160" s="240"/>
      <c r="AH160" s="240"/>
      <c r="AI160" s="240"/>
      <c r="AJ160" s="240"/>
      <c r="AK160" s="399"/>
      <c r="AL160" s="244"/>
      <c r="AM160" s="236"/>
      <c r="AN160" s="400"/>
    </row>
    <row r="161" spans="1:40" s="403" customFormat="1" ht="30" customHeight="1">
      <c r="A161" s="263"/>
      <c r="B161" s="396" t="s">
        <v>1505</v>
      </c>
      <c r="C161" s="250" t="s">
        <v>1050</v>
      </c>
      <c r="D161" s="401" t="s">
        <v>1377</v>
      </c>
      <c r="E161" s="316"/>
      <c r="F161" s="318">
        <v>14960</v>
      </c>
      <c r="G161" s="318">
        <v>12856</v>
      </c>
      <c r="H161" s="318">
        <v>12716</v>
      </c>
      <c r="I161" s="237">
        <f aca="true" t="shared" si="77" ref="I161:I168">K161+M161</f>
        <v>55</v>
      </c>
      <c r="J161" s="324"/>
      <c r="K161" s="237">
        <v>55</v>
      </c>
      <c r="L161" s="237"/>
      <c r="M161" s="237"/>
      <c r="N161" s="239">
        <f aca="true" t="shared" si="78" ref="N161:N168">Q161+R161+S161</f>
        <v>25.832</v>
      </c>
      <c r="O161" s="239"/>
      <c r="P161" s="239">
        <f>SUM(Q161:S161)</f>
        <v>25.832</v>
      </c>
      <c r="Q161" s="239">
        <v>25.832</v>
      </c>
      <c r="R161" s="239">
        <v>0</v>
      </c>
      <c r="S161" s="239">
        <v>0</v>
      </c>
      <c r="T161" s="257"/>
      <c r="U161" s="254"/>
      <c r="V161" s="240">
        <f aca="true" t="shared" si="79" ref="V161:V168">W161+X161</f>
        <v>0</v>
      </c>
      <c r="W161" s="240"/>
      <c r="X161" s="240"/>
      <c r="Y161" s="240">
        <v>55000000</v>
      </c>
      <c r="Z161" s="258"/>
      <c r="AA161" s="258">
        <v>29168000</v>
      </c>
      <c r="AB161" s="241">
        <f aca="true" t="shared" si="80" ref="AB161:AB168">Y161+Z161-AA161+X161</f>
        <v>25832000</v>
      </c>
      <c r="AC161" s="242">
        <f aca="true" t="shared" si="81" ref="AC161:AC168">AD161+AE161+AF161</f>
        <v>25832000</v>
      </c>
      <c r="AD161" s="242">
        <v>25832000</v>
      </c>
      <c r="AE161" s="258"/>
      <c r="AF161" s="258"/>
      <c r="AG161" s="240"/>
      <c r="AH161" s="240">
        <f aca="true" t="shared" si="82" ref="AH161:AH168">AI161+AL161</f>
        <v>0</v>
      </c>
      <c r="AI161" s="240">
        <f aca="true" t="shared" si="83" ref="AI161:AI168">SUM(AJ161:AK161)</f>
        <v>0</v>
      </c>
      <c r="AJ161" s="240">
        <f aca="true" t="shared" si="84" ref="AJ161:AJ168">W161-AF161-AG161</f>
        <v>0</v>
      </c>
      <c r="AK161" s="325"/>
      <c r="AL161" s="244"/>
      <c r="AM161" s="236">
        <f aca="true" t="shared" si="85" ref="AM161:AM168">AB161-AD161-AE161-AK161-AL161</f>
        <v>0</v>
      </c>
      <c r="AN161" s="402"/>
    </row>
    <row r="162" spans="1:40" s="327" customFormat="1" ht="25.5" customHeight="1">
      <c r="A162" s="263"/>
      <c r="B162" s="396" t="s">
        <v>1506</v>
      </c>
      <c r="C162" s="250" t="s">
        <v>1393</v>
      </c>
      <c r="D162" s="319" t="s">
        <v>1507</v>
      </c>
      <c r="E162" s="300"/>
      <c r="F162" s="235">
        <v>5270</v>
      </c>
      <c r="G162" s="236">
        <v>5217</v>
      </c>
      <c r="H162" s="235"/>
      <c r="I162" s="237">
        <f t="shared" si="77"/>
        <v>800</v>
      </c>
      <c r="J162" s="257"/>
      <c r="K162" s="237">
        <v>800</v>
      </c>
      <c r="L162" s="237"/>
      <c r="M162" s="237"/>
      <c r="N162" s="239">
        <f t="shared" si="78"/>
        <v>800</v>
      </c>
      <c r="O162" s="239"/>
      <c r="P162" s="239">
        <f aca="true" t="shared" si="86" ref="P162:P168">SUM(Q162:S162)</f>
        <v>800</v>
      </c>
      <c r="Q162" s="239">
        <v>800</v>
      </c>
      <c r="R162" s="239">
        <v>0</v>
      </c>
      <c r="S162" s="239">
        <v>0</v>
      </c>
      <c r="T162" s="257"/>
      <c r="U162" s="254"/>
      <c r="V162" s="240">
        <f t="shared" si="79"/>
        <v>0</v>
      </c>
      <c r="W162" s="240"/>
      <c r="X162" s="240"/>
      <c r="Y162" s="240">
        <v>800000000</v>
      </c>
      <c r="Z162" s="258"/>
      <c r="AA162" s="258"/>
      <c r="AB162" s="241">
        <f t="shared" si="80"/>
        <v>800000000</v>
      </c>
      <c r="AC162" s="242">
        <f t="shared" si="81"/>
        <v>800000000</v>
      </c>
      <c r="AD162" s="240">
        <v>800000000</v>
      </c>
      <c r="AE162" s="258"/>
      <c r="AF162" s="258"/>
      <c r="AG162" s="240"/>
      <c r="AH162" s="240">
        <f t="shared" si="82"/>
        <v>0</v>
      </c>
      <c r="AI162" s="240">
        <f t="shared" si="83"/>
        <v>0</v>
      </c>
      <c r="AJ162" s="240">
        <f t="shared" si="84"/>
        <v>0</v>
      </c>
      <c r="AK162" s="258"/>
      <c r="AL162" s="244"/>
      <c r="AM162" s="236">
        <f t="shared" si="85"/>
        <v>0</v>
      </c>
      <c r="AN162" s="326"/>
    </row>
    <row r="163" spans="1:40" s="327" customFormat="1" ht="19.5" customHeight="1">
      <c r="A163" s="263"/>
      <c r="B163" s="396" t="s">
        <v>1508</v>
      </c>
      <c r="C163" s="250" t="s">
        <v>1393</v>
      </c>
      <c r="D163" s="319" t="s">
        <v>1389</v>
      </c>
      <c r="E163" s="300"/>
      <c r="F163" s="235">
        <v>27770</v>
      </c>
      <c r="G163" s="236">
        <v>27492</v>
      </c>
      <c r="H163" s="235">
        <v>13947</v>
      </c>
      <c r="I163" s="237">
        <f t="shared" si="77"/>
        <v>1000</v>
      </c>
      <c r="J163" s="257"/>
      <c r="K163" s="237">
        <v>1000</v>
      </c>
      <c r="L163" s="237"/>
      <c r="M163" s="237"/>
      <c r="N163" s="239">
        <f t="shared" si="78"/>
        <v>1000</v>
      </c>
      <c r="O163" s="239"/>
      <c r="P163" s="239">
        <f t="shared" si="86"/>
        <v>1000</v>
      </c>
      <c r="Q163" s="239">
        <v>1000</v>
      </c>
      <c r="R163" s="239">
        <v>0</v>
      </c>
      <c r="S163" s="239">
        <v>0</v>
      </c>
      <c r="T163" s="257"/>
      <c r="U163" s="254"/>
      <c r="V163" s="240">
        <f t="shared" si="79"/>
        <v>0</v>
      </c>
      <c r="W163" s="240"/>
      <c r="X163" s="240"/>
      <c r="Y163" s="240">
        <v>1000000000</v>
      </c>
      <c r="Z163" s="258"/>
      <c r="AA163" s="258"/>
      <c r="AB163" s="241">
        <f t="shared" si="80"/>
        <v>1000000000</v>
      </c>
      <c r="AC163" s="242">
        <f t="shared" si="81"/>
        <v>1000000000</v>
      </c>
      <c r="AD163" s="240">
        <v>1000000000</v>
      </c>
      <c r="AE163" s="258"/>
      <c r="AF163" s="258"/>
      <c r="AG163" s="240"/>
      <c r="AH163" s="240">
        <f t="shared" si="82"/>
        <v>0</v>
      </c>
      <c r="AI163" s="240">
        <f t="shared" si="83"/>
        <v>0</v>
      </c>
      <c r="AJ163" s="240">
        <f t="shared" si="84"/>
        <v>0</v>
      </c>
      <c r="AK163" s="258"/>
      <c r="AL163" s="244"/>
      <c r="AM163" s="236">
        <f t="shared" si="85"/>
        <v>0</v>
      </c>
      <c r="AN163" s="326"/>
    </row>
    <row r="164" spans="1:40" s="403" customFormat="1" ht="27.75" customHeight="1">
      <c r="A164" s="263"/>
      <c r="B164" s="396" t="s">
        <v>1509</v>
      </c>
      <c r="C164" s="250" t="s">
        <v>1393</v>
      </c>
      <c r="D164" s="401" t="s">
        <v>1339</v>
      </c>
      <c r="E164" s="316"/>
      <c r="F164" s="318">
        <v>12210</v>
      </c>
      <c r="G164" s="318"/>
      <c r="H164" s="318"/>
      <c r="I164" s="237">
        <f t="shared" si="77"/>
        <v>3200</v>
      </c>
      <c r="J164" s="324"/>
      <c r="K164" s="237">
        <v>3200</v>
      </c>
      <c r="L164" s="237"/>
      <c r="M164" s="237"/>
      <c r="N164" s="239">
        <f t="shared" si="78"/>
        <v>3200</v>
      </c>
      <c r="O164" s="239"/>
      <c r="P164" s="239">
        <f t="shared" si="86"/>
        <v>3200</v>
      </c>
      <c r="Q164" s="239">
        <v>3200</v>
      </c>
      <c r="R164" s="239">
        <v>0</v>
      </c>
      <c r="S164" s="239">
        <v>0</v>
      </c>
      <c r="T164" s="257"/>
      <c r="U164" s="254"/>
      <c r="V164" s="240">
        <f t="shared" si="79"/>
        <v>0</v>
      </c>
      <c r="W164" s="240"/>
      <c r="X164" s="240"/>
      <c r="Y164" s="240">
        <v>3200000000</v>
      </c>
      <c r="Z164" s="258"/>
      <c r="AA164" s="258"/>
      <c r="AB164" s="241">
        <f t="shared" si="80"/>
        <v>3200000000</v>
      </c>
      <c r="AC164" s="242">
        <f t="shared" si="81"/>
        <v>3200000000</v>
      </c>
      <c r="AD164" s="242">
        <v>3200000000</v>
      </c>
      <c r="AE164" s="258"/>
      <c r="AF164" s="258"/>
      <c r="AG164" s="240"/>
      <c r="AH164" s="240">
        <f t="shared" si="82"/>
        <v>0</v>
      </c>
      <c r="AI164" s="240">
        <f t="shared" si="83"/>
        <v>0</v>
      </c>
      <c r="AJ164" s="240">
        <f t="shared" si="84"/>
        <v>0</v>
      </c>
      <c r="AK164" s="325"/>
      <c r="AL164" s="244"/>
      <c r="AM164" s="236">
        <f t="shared" si="85"/>
        <v>0</v>
      </c>
      <c r="AN164" s="402"/>
    </row>
    <row r="165" spans="1:40" s="403" customFormat="1" ht="19.5" customHeight="1">
      <c r="A165" s="263"/>
      <c r="B165" s="396" t="s">
        <v>1510</v>
      </c>
      <c r="C165" s="250" t="s">
        <v>1393</v>
      </c>
      <c r="D165" s="401" t="s">
        <v>1339</v>
      </c>
      <c r="E165" s="316"/>
      <c r="F165" s="318">
        <v>3300</v>
      </c>
      <c r="G165" s="318"/>
      <c r="H165" s="318"/>
      <c r="I165" s="237">
        <f t="shared" si="77"/>
        <v>1085</v>
      </c>
      <c r="J165" s="324"/>
      <c r="K165" s="237">
        <v>1085</v>
      </c>
      <c r="L165" s="237"/>
      <c r="M165" s="237"/>
      <c r="N165" s="239">
        <f t="shared" si="78"/>
        <v>1085</v>
      </c>
      <c r="O165" s="239"/>
      <c r="P165" s="239">
        <f t="shared" si="86"/>
        <v>1085</v>
      </c>
      <c r="Q165" s="239">
        <v>1085</v>
      </c>
      <c r="R165" s="239">
        <v>0</v>
      </c>
      <c r="S165" s="239">
        <v>0</v>
      </c>
      <c r="T165" s="257"/>
      <c r="U165" s="254"/>
      <c r="V165" s="240">
        <f t="shared" si="79"/>
        <v>0</v>
      </c>
      <c r="W165" s="240"/>
      <c r="X165" s="240"/>
      <c r="Y165" s="240">
        <v>1085000000</v>
      </c>
      <c r="Z165" s="258"/>
      <c r="AA165" s="258"/>
      <c r="AB165" s="241">
        <f t="shared" si="80"/>
        <v>1085000000</v>
      </c>
      <c r="AC165" s="242">
        <f t="shared" si="81"/>
        <v>1085000000</v>
      </c>
      <c r="AD165" s="242">
        <v>1085000000</v>
      </c>
      <c r="AE165" s="258"/>
      <c r="AF165" s="258"/>
      <c r="AG165" s="240"/>
      <c r="AH165" s="240">
        <f t="shared" si="82"/>
        <v>0</v>
      </c>
      <c r="AI165" s="240">
        <f t="shared" si="83"/>
        <v>0</v>
      </c>
      <c r="AJ165" s="240">
        <f t="shared" si="84"/>
        <v>0</v>
      </c>
      <c r="AK165" s="325"/>
      <c r="AL165" s="244"/>
      <c r="AM165" s="236">
        <f t="shared" si="85"/>
        <v>0</v>
      </c>
      <c r="AN165" s="402"/>
    </row>
    <row r="166" spans="1:40" s="403" customFormat="1" ht="28.5" customHeight="1">
      <c r="A166" s="263"/>
      <c r="B166" s="396" t="s">
        <v>1511</v>
      </c>
      <c r="C166" s="250" t="s">
        <v>1397</v>
      </c>
      <c r="D166" s="401" t="s">
        <v>1339</v>
      </c>
      <c r="E166" s="316"/>
      <c r="F166" s="318">
        <v>4450</v>
      </c>
      <c r="G166" s="318"/>
      <c r="H166" s="318"/>
      <c r="I166" s="237">
        <f t="shared" si="77"/>
        <v>710</v>
      </c>
      <c r="J166" s="324"/>
      <c r="K166" s="237">
        <v>710</v>
      </c>
      <c r="L166" s="237"/>
      <c r="M166" s="237"/>
      <c r="N166" s="239">
        <f t="shared" si="78"/>
        <v>710</v>
      </c>
      <c r="O166" s="239"/>
      <c r="P166" s="239">
        <f t="shared" si="86"/>
        <v>710</v>
      </c>
      <c r="Q166" s="239">
        <v>710</v>
      </c>
      <c r="R166" s="239">
        <v>0</v>
      </c>
      <c r="S166" s="239">
        <v>0</v>
      </c>
      <c r="T166" s="257"/>
      <c r="U166" s="254"/>
      <c r="V166" s="240">
        <f t="shared" si="79"/>
        <v>0</v>
      </c>
      <c r="W166" s="240"/>
      <c r="X166" s="240"/>
      <c r="Y166" s="240">
        <v>710000000</v>
      </c>
      <c r="Z166" s="258"/>
      <c r="AA166" s="258"/>
      <c r="AB166" s="241">
        <f t="shared" si="80"/>
        <v>710000000</v>
      </c>
      <c r="AC166" s="242">
        <f t="shared" si="81"/>
        <v>710000000</v>
      </c>
      <c r="AD166" s="240">
        <v>710000000</v>
      </c>
      <c r="AE166" s="258"/>
      <c r="AF166" s="258"/>
      <c r="AG166" s="240"/>
      <c r="AH166" s="240">
        <f t="shared" si="82"/>
        <v>0</v>
      </c>
      <c r="AI166" s="240">
        <f t="shared" si="83"/>
        <v>0</v>
      </c>
      <c r="AJ166" s="240">
        <f t="shared" si="84"/>
        <v>0</v>
      </c>
      <c r="AK166" s="325"/>
      <c r="AL166" s="244"/>
      <c r="AM166" s="236">
        <f t="shared" si="85"/>
        <v>0</v>
      </c>
      <c r="AN166" s="402"/>
    </row>
    <row r="167" spans="1:40" s="403" customFormat="1" ht="19.5" customHeight="1">
      <c r="A167" s="263"/>
      <c r="B167" s="396" t="s">
        <v>1512</v>
      </c>
      <c r="C167" s="250" t="s">
        <v>1408</v>
      </c>
      <c r="D167" s="401" t="s">
        <v>1339</v>
      </c>
      <c r="E167" s="316"/>
      <c r="F167" s="318">
        <v>14534</v>
      </c>
      <c r="G167" s="318"/>
      <c r="H167" s="318"/>
      <c r="I167" s="237">
        <f t="shared" si="77"/>
        <v>1150</v>
      </c>
      <c r="J167" s="324"/>
      <c r="K167" s="237">
        <v>1150</v>
      </c>
      <c r="L167" s="237"/>
      <c r="M167" s="237"/>
      <c r="N167" s="239">
        <f t="shared" si="78"/>
        <v>542.79</v>
      </c>
      <c r="O167" s="239"/>
      <c r="P167" s="239">
        <f t="shared" si="86"/>
        <v>542.79</v>
      </c>
      <c r="Q167" s="239">
        <v>542.79</v>
      </c>
      <c r="R167" s="239">
        <v>0</v>
      </c>
      <c r="S167" s="239">
        <v>0</v>
      </c>
      <c r="T167" s="257"/>
      <c r="U167" s="254"/>
      <c r="V167" s="240">
        <f t="shared" si="79"/>
        <v>0</v>
      </c>
      <c r="W167" s="240"/>
      <c r="X167" s="240"/>
      <c r="Y167" s="240">
        <v>1150000000</v>
      </c>
      <c r="Z167" s="258"/>
      <c r="AA167" s="258"/>
      <c r="AB167" s="241">
        <f t="shared" si="80"/>
        <v>1150000000</v>
      </c>
      <c r="AC167" s="242">
        <f t="shared" si="81"/>
        <v>542790000</v>
      </c>
      <c r="AD167" s="242">
        <v>542790000</v>
      </c>
      <c r="AE167" s="258"/>
      <c r="AF167" s="258"/>
      <c r="AG167" s="240"/>
      <c r="AH167" s="240">
        <f t="shared" si="82"/>
        <v>607210000</v>
      </c>
      <c r="AI167" s="240">
        <f t="shared" si="83"/>
        <v>0</v>
      </c>
      <c r="AJ167" s="240">
        <f t="shared" si="84"/>
        <v>0</v>
      </c>
      <c r="AK167" s="325"/>
      <c r="AL167" s="244">
        <v>607210000</v>
      </c>
      <c r="AM167" s="236">
        <f t="shared" si="85"/>
        <v>0</v>
      </c>
      <c r="AN167" s="402"/>
    </row>
    <row r="168" spans="1:40" s="403" customFormat="1" ht="19.5" customHeight="1">
      <c r="A168" s="263"/>
      <c r="B168" s="396" t="s">
        <v>1513</v>
      </c>
      <c r="C168" s="250" t="s">
        <v>1355</v>
      </c>
      <c r="D168" s="401" t="s">
        <v>1339</v>
      </c>
      <c r="E168" s="316"/>
      <c r="F168" s="318">
        <v>13785</v>
      </c>
      <c r="G168" s="318"/>
      <c r="H168" s="318"/>
      <c r="I168" s="237">
        <f t="shared" si="77"/>
        <v>1000</v>
      </c>
      <c r="J168" s="324"/>
      <c r="K168" s="237">
        <v>1000</v>
      </c>
      <c r="L168" s="237"/>
      <c r="M168" s="237"/>
      <c r="N168" s="239">
        <f t="shared" si="78"/>
        <v>1000</v>
      </c>
      <c r="O168" s="239"/>
      <c r="P168" s="239">
        <f t="shared" si="86"/>
        <v>1000</v>
      </c>
      <c r="Q168" s="239">
        <v>1000</v>
      </c>
      <c r="R168" s="239">
        <v>0</v>
      </c>
      <c r="S168" s="239">
        <v>0</v>
      </c>
      <c r="T168" s="257"/>
      <c r="U168" s="254"/>
      <c r="V168" s="240">
        <f t="shared" si="79"/>
        <v>0</v>
      </c>
      <c r="W168" s="240"/>
      <c r="X168" s="240"/>
      <c r="Y168" s="240">
        <v>1000000000</v>
      </c>
      <c r="Z168" s="258"/>
      <c r="AA168" s="258"/>
      <c r="AB168" s="241">
        <f t="shared" si="80"/>
        <v>1000000000</v>
      </c>
      <c r="AC168" s="242">
        <f t="shared" si="81"/>
        <v>1000000000</v>
      </c>
      <c r="AD168" s="240">
        <v>1000000000</v>
      </c>
      <c r="AE168" s="258"/>
      <c r="AF168" s="258"/>
      <c r="AG168" s="240"/>
      <c r="AH168" s="240">
        <f t="shared" si="82"/>
        <v>0</v>
      </c>
      <c r="AI168" s="240">
        <f t="shared" si="83"/>
        <v>0</v>
      </c>
      <c r="AJ168" s="240">
        <f t="shared" si="84"/>
        <v>0</v>
      </c>
      <c r="AK168" s="325"/>
      <c r="AL168" s="244"/>
      <c r="AM168" s="236">
        <f t="shared" si="85"/>
        <v>0</v>
      </c>
      <c r="AN168" s="402"/>
    </row>
    <row r="169" spans="1:41" s="376" customFormat="1" ht="19.5" customHeight="1">
      <c r="A169" s="288" t="s">
        <v>1514</v>
      </c>
      <c r="B169" s="287" t="s">
        <v>1515</v>
      </c>
      <c r="C169" s="218"/>
      <c r="D169" s="218"/>
      <c r="E169" s="219"/>
      <c r="F169" s="220"/>
      <c r="G169" s="221"/>
      <c r="H169" s="221"/>
      <c r="I169" s="282">
        <f>SUM(I170,I172)</f>
        <v>25225.61</v>
      </c>
      <c r="J169" s="282">
        <f aca="true" t="shared" si="87" ref="J169:AO169">SUM(J170,J172)</f>
        <v>0</v>
      </c>
      <c r="K169" s="282">
        <f t="shared" si="87"/>
        <v>25225.61</v>
      </c>
      <c r="L169" s="282">
        <f t="shared" si="87"/>
        <v>0</v>
      </c>
      <c r="M169" s="282">
        <f t="shared" si="87"/>
        <v>0</v>
      </c>
      <c r="N169" s="282">
        <f t="shared" si="87"/>
        <v>23804.922</v>
      </c>
      <c r="O169" s="282">
        <f t="shared" si="87"/>
        <v>0</v>
      </c>
      <c r="P169" s="282">
        <f t="shared" si="87"/>
        <v>23804.922</v>
      </c>
      <c r="Q169" s="282">
        <f t="shared" si="87"/>
        <v>1940</v>
      </c>
      <c r="R169" s="282">
        <f t="shared" si="87"/>
        <v>0</v>
      </c>
      <c r="S169" s="282">
        <f t="shared" si="87"/>
        <v>0</v>
      </c>
      <c r="T169" s="282">
        <f t="shared" si="87"/>
        <v>0</v>
      </c>
      <c r="U169" s="282">
        <f t="shared" si="87"/>
        <v>0</v>
      </c>
      <c r="V169" s="282">
        <f t="shared" si="87"/>
        <v>0</v>
      </c>
      <c r="W169" s="282">
        <f t="shared" si="87"/>
        <v>0</v>
      </c>
      <c r="X169" s="282">
        <f t="shared" si="87"/>
        <v>0</v>
      </c>
      <c r="Y169" s="282">
        <f t="shared" si="87"/>
        <v>0</v>
      </c>
      <c r="Z169" s="282">
        <f t="shared" si="87"/>
        <v>0</v>
      </c>
      <c r="AA169" s="282">
        <f t="shared" si="87"/>
        <v>0</v>
      </c>
      <c r="AB169" s="282">
        <f t="shared" si="87"/>
        <v>0</v>
      </c>
      <c r="AC169" s="282">
        <f t="shared" si="87"/>
        <v>0</v>
      </c>
      <c r="AD169" s="282">
        <f t="shared" si="87"/>
        <v>0</v>
      </c>
      <c r="AE169" s="282">
        <f t="shared" si="87"/>
        <v>0</v>
      </c>
      <c r="AF169" s="282">
        <f t="shared" si="87"/>
        <v>0</v>
      </c>
      <c r="AG169" s="282">
        <f t="shared" si="87"/>
        <v>0</v>
      </c>
      <c r="AH169" s="282">
        <f t="shared" si="87"/>
        <v>0</v>
      </c>
      <c r="AI169" s="282">
        <f t="shared" si="87"/>
        <v>0</v>
      </c>
      <c r="AJ169" s="282">
        <f t="shared" si="87"/>
        <v>0</v>
      </c>
      <c r="AK169" s="282">
        <f t="shared" si="87"/>
        <v>0</v>
      </c>
      <c r="AL169" s="282">
        <f t="shared" si="87"/>
        <v>0</v>
      </c>
      <c r="AM169" s="282">
        <f t="shared" si="87"/>
        <v>0</v>
      </c>
      <c r="AN169" s="282">
        <f t="shared" si="87"/>
        <v>0</v>
      </c>
      <c r="AO169" s="282">
        <f t="shared" si="87"/>
        <v>0</v>
      </c>
    </row>
    <row r="170" spans="1:40" s="376" customFormat="1" ht="19.5" customHeight="1">
      <c r="A170" s="288"/>
      <c r="B170" s="287" t="s">
        <v>1327</v>
      </c>
      <c r="C170" s="218"/>
      <c r="D170" s="218"/>
      <c r="E170" s="219"/>
      <c r="F170" s="220"/>
      <c r="G170" s="221"/>
      <c r="H170" s="221"/>
      <c r="I170" s="237">
        <f>SUM(I171)</f>
        <v>1940</v>
      </c>
      <c r="J170" s="237">
        <f aca="true" t="shared" si="88" ref="J170:U170">SUM(J171)</f>
        <v>0</v>
      </c>
      <c r="K170" s="237">
        <f t="shared" si="88"/>
        <v>1940</v>
      </c>
      <c r="L170" s="237">
        <f t="shared" si="88"/>
        <v>0</v>
      </c>
      <c r="M170" s="237">
        <f t="shared" si="88"/>
        <v>0</v>
      </c>
      <c r="N170" s="237">
        <f t="shared" si="88"/>
        <v>1940</v>
      </c>
      <c r="O170" s="237">
        <f t="shared" si="88"/>
        <v>0</v>
      </c>
      <c r="P170" s="237">
        <f t="shared" si="88"/>
        <v>1940</v>
      </c>
      <c r="Q170" s="237">
        <f t="shared" si="88"/>
        <v>1940</v>
      </c>
      <c r="R170" s="237">
        <f t="shared" si="88"/>
        <v>0</v>
      </c>
      <c r="S170" s="237">
        <f t="shared" si="88"/>
        <v>0</v>
      </c>
      <c r="T170" s="237">
        <f t="shared" si="88"/>
        <v>0</v>
      </c>
      <c r="U170" s="237">
        <f t="shared" si="88"/>
        <v>0</v>
      </c>
      <c r="V170" s="240"/>
      <c r="W170" s="240"/>
      <c r="X170" s="240"/>
      <c r="Y170" s="240"/>
      <c r="Z170" s="292"/>
      <c r="AA170" s="292"/>
      <c r="AB170" s="292"/>
      <c r="AC170" s="242">
        <f aca="true" t="shared" si="89" ref="AC170:AC193">AD170+AE170+AF170</f>
        <v>0</v>
      </c>
      <c r="AD170" s="292"/>
      <c r="AE170" s="292"/>
      <c r="AF170" s="292"/>
      <c r="AG170" s="240"/>
      <c r="AH170" s="240">
        <f aca="true" t="shared" si="90" ref="AH170:AH193">AI170+AL170</f>
        <v>0</v>
      </c>
      <c r="AI170" s="240">
        <f aca="true" t="shared" si="91" ref="AI170:AI193">SUM(AJ170:AK170)</f>
        <v>0</v>
      </c>
      <c r="AJ170" s="240">
        <f aca="true" t="shared" si="92" ref="AJ170:AJ193">W170-AF170-AG170</f>
        <v>0</v>
      </c>
      <c r="AK170" s="292"/>
      <c r="AL170" s="244"/>
      <c r="AM170" s="236">
        <f aca="true" t="shared" si="93" ref="AM170:AM193">AB170-AD170-AE170-AK170-AL170</f>
        <v>0</v>
      </c>
      <c r="AN170" s="377"/>
    </row>
    <row r="171" spans="1:40" s="340" customFormat="1" ht="28.5" customHeight="1">
      <c r="A171" s="252"/>
      <c r="B171" s="311" t="s">
        <v>1516</v>
      </c>
      <c r="C171" s="250" t="s">
        <v>1058</v>
      </c>
      <c r="D171" s="319" t="s">
        <v>1517</v>
      </c>
      <c r="E171" s="350"/>
      <c r="F171" s="235">
        <v>92137</v>
      </c>
      <c r="G171" s="236">
        <v>16000</v>
      </c>
      <c r="H171" s="236">
        <v>6000</v>
      </c>
      <c r="I171" s="237">
        <f>K171+M171</f>
        <v>1940</v>
      </c>
      <c r="J171" s="256"/>
      <c r="K171" s="237">
        <v>1940</v>
      </c>
      <c r="L171" s="237"/>
      <c r="M171" s="237"/>
      <c r="N171" s="239">
        <f aca="true" t="shared" si="94" ref="N171:N193">Q171+R171+S171</f>
        <v>1940</v>
      </c>
      <c r="O171" s="239"/>
      <c r="P171" s="239">
        <f>SUM(Q171:S171)</f>
        <v>1940</v>
      </c>
      <c r="Q171" s="239">
        <v>1940</v>
      </c>
      <c r="R171" s="239">
        <v>0</v>
      </c>
      <c r="S171" s="239">
        <v>0</v>
      </c>
      <c r="T171" s="257"/>
      <c r="U171" s="254"/>
      <c r="V171" s="240">
        <f>W171+X171</f>
        <v>0</v>
      </c>
      <c r="W171" s="240"/>
      <c r="X171" s="240"/>
      <c r="Y171" s="240">
        <v>1940000000</v>
      </c>
      <c r="Z171" s="258"/>
      <c r="AA171" s="258"/>
      <c r="AB171" s="241">
        <f>Y171+Z171-AA171+X171</f>
        <v>1940000000</v>
      </c>
      <c r="AC171" s="242">
        <f t="shared" si="89"/>
        <v>1940000000</v>
      </c>
      <c r="AD171" s="242">
        <v>1940000000</v>
      </c>
      <c r="AE171" s="258"/>
      <c r="AF171" s="258"/>
      <c r="AG171" s="240"/>
      <c r="AH171" s="240">
        <f t="shared" si="90"/>
        <v>0</v>
      </c>
      <c r="AI171" s="240">
        <f t="shared" si="91"/>
        <v>0</v>
      </c>
      <c r="AJ171" s="240">
        <f t="shared" si="92"/>
        <v>0</v>
      </c>
      <c r="AK171" s="325"/>
      <c r="AL171" s="244"/>
      <c r="AM171" s="236">
        <f t="shared" si="93"/>
        <v>0</v>
      </c>
      <c r="AN171" s="339"/>
    </row>
    <row r="172" spans="1:40" s="376" customFormat="1" ht="19.5" customHeight="1">
      <c r="A172" s="288"/>
      <c r="B172" s="287" t="s">
        <v>1329</v>
      </c>
      <c r="C172" s="288"/>
      <c r="D172" s="288"/>
      <c r="E172" s="289"/>
      <c r="F172" s="290"/>
      <c r="G172" s="291"/>
      <c r="H172" s="291"/>
      <c r="I172" s="282">
        <f>SUM(I173:I193)</f>
        <v>23285.61</v>
      </c>
      <c r="J172" s="282">
        <f aca="true" t="shared" si="95" ref="J172:O172">SUM(J173:J193)</f>
        <v>0</v>
      </c>
      <c r="K172" s="282">
        <f t="shared" si="95"/>
        <v>23285.61</v>
      </c>
      <c r="L172" s="282">
        <f t="shared" si="95"/>
        <v>0</v>
      </c>
      <c r="M172" s="282">
        <f t="shared" si="95"/>
        <v>0</v>
      </c>
      <c r="N172" s="282">
        <f t="shared" si="95"/>
        <v>21864.922</v>
      </c>
      <c r="O172" s="282">
        <f t="shared" si="95"/>
        <v>0</v>
      </c>
      <c r="P172" s="296">
        <f>SUM(P173:P193)</f>
        <v>21864.922</v>
      </c>
      <c r="Q172" s="296">
        <v>0</v>
      </c>
      <c r="R172" s="296">
        <v>0</v>
      </c>
      <c r="S172" s="296">
        <v>0</v>
      </c>
      <c r="T172" s="295"/>
      <c r="U172" s="290"/>
      <c r="V172" s="240"/>
      <c r="W172" s="240"/>
      <c r="X172" s="240"/>
      <c r="Y172" s="240"/>
      <c r="Z172" s="297"/>
      <c r="AA172" s="297"/>
      <c r="AB172" s="297"/>
      <c r="AC172" s="242">
        <f t="shared" si="89"/>
        <v>0</v>
      </c>
      <c r="AD172" s="308"/>
      <c r="AE172" s="308"/>
      <c r="AF172" s="308"/>
      <c r="AG172" s="240"/>
      <c r="AH172" s="240">
        <f t="shared" si="90"/>
        <v>0</v>
      </c>
      <c r="AI172" s="240">
        <f t="shared" si="91"/>
        <v>0</v>
      </c>
      <c r="AJ172" s="240">
        <f t="shared" si="92"/>
        <v>0</v>
      </c>
      <c r="AK172" s="297"/>
      <c r="AL172" s="244"/>
      <c r="AM172" s="236">
        <f t="shared" si="93"/>
        <v>0</v>
      </c>
      <c r="AN172" s="377"/>
    </row>
    <row r="173" spans="1:40" s="340" customFormat="1" ht="19.5" customHeight="1">
      <c r="A173" s="278"/>
      <c r="B173" s="311" t="s">
        <v>1518</v>
      </c>
      <c r="C173" s="250" t="s">
        <v>1050</v>
      </c>
      <c r="D173" s="319"/>
      <c r="E173" s="350"/>
      <c r="F173" s="235">
        <v>6400</v>
      </c>
      <c r="G173" s="236">
        <v>6400</v>
      </c>
      <c r="H173" s="236">
        <v>4660</v>
      </c>
      <c r="I173" s="237">
        <f aca="true" t="shared" si="96" ref="I173:I193">K173+M173</f>
        <v>900</v>
      </c>
      <c r="J173" s="256"/>
      <c r="K173" s="237">
        <v>900</v>
      </c>
      <c r="L173" s="237"/>
      <c r="M173" s="237"/>
      <c r="N173" s="239">
        <f t="shared" si="94"/>
        <v>900</v>
      </c>
      <c r="O173" s="239"/>
      <c r="P173" s="239">
        <f>SUM(Q173:S173)</f>
        <v>900</v>
      </c>
      <c r="Q173" s="239">
        <v>900</v>
      </c>
      <c r="R173" s="239"/>
      <c r="S173" s="239"/>
      <c r="T173" s="257"/>
      <c r="U173" s="254"/>
      <c r="V173" s="240">
        <f aca="true" t="shared" si="97" ref="V173:V193">W173+X173</f>
        <v>0</v>
      </c>
      <c r="W173" s="240"/>
      <c r="X173" s="240"/>
      <c r="Y173" s="240">
        <v>900000000</v>
      </c>
      <c r="Z173" s="258"/>
      <c r="AA173" s="258"/>
      <c r="AB173" s="241">
        <f aca="true" t="shared" si="98" ref="AB173:AB193">Y173+Z173-AA173+X173</f>
        <v>900000000</v>
      </c>
      <c r="AC173" s="242">
        <f t="shared" si="89"/>
        <v>900000000</v>
      </c>
      <c r="AD173" s="240">
        <v>900000000</v>
      </c>
      <c r="AE173" s="258"/>
      <c r="AF173" s="258"/>
      <c r="AG173" s="240"/>
      <c r="AH173" s="240">
        <f t="shared" si="90"/>
        <v>0</v>
      </c>
      <c r="AI173" s="240">
        <f t="shared" si="91"/>
        <v>0</v>
      </c>
      <c r="AJ173" s="240">
        <f t="shared" si="92"/>
        <v>0</v>
      </c>
      <c r="AK173" s="325"/>
      <c r="AL173" s="244"/>
      <c r="AM173" s="236">
        <f t="shared" si="93"/>
        <v>0</v>
      </c>
      <c r="AN173" s="348"/>
    </row>
    <row r="174" spans="1:40" s="340" customFormat="1" ht="19.5" customHeight="1">
      <c r="A174" s="278"/>
      <c r="B174" s="311" t="s">
        <v>1519</v>
      </c>
      <c r="C174" s="250" t="s">
        <v>1341</v>
      </c>
      <c r="D174" s="319" t="s">
        <v>1520</v>
      </c>
      <c r="E174" s="350"/>
      <c r="F174" s="235">
        <v>14600</v>
      </c>
      <c r="G174" s="236">
        <v>4000</v>
      </c>
      <c r="H174" s="236"/>
      <c r="I174" s="237">
        <f t="shared" si="96"/>
        <v>3000</v>
      </c>
      <c r="J174" s="256"/>
      <c r="K174" s="237">
        <v>3000</v>
      </c>
      <c r="L174" s="237"/>
      <c r="M174" s="237"/>
      <c r="N174" s="239">
        <f t="shared" si="94"/>
        <v>3000</v>
      </c>
      <c r="O174" s="239"/>
      <c r="P174" s="239">
        <f aca="true" t="shared" si="99" ref="P174:P193">SUM(Q174:S174)</f>
        <v>3000</v>
      </c>
      <c r="Q174" s="239">
        <v>3000</v>
      </c>
      <c r="R174" s="239"/>
      <c r="S174" s="239"/>
      <c r="T174" s="257"/>
      <c r="U174" s="254"/>
      <c r="V174" s="240">
        <f t="shared" si="97"/>
        <v>0</v>
      </c>
      <c r="W174" s="240"/>
      <c r="X174" s="240"/>
      <c r="Y174" s="240">
        <v>3000000000</v>
      </c>
      <c r="Z174" s="258"/>
      <c r="AA174" s="258"/>
      <c r="AB174" s="241">
        <f t="shared" si="98"/>
        <v>3000000000</v>
      </c>
      <c r="AC174" s="242">
        <f t="shared" si="89"/>
        <v>3000000000</v>
      </c>
      <c r="AD174" s="258">
        <v>3000000000</v>
      </c>
      <c r="AE174" s="258"/>
      <c r="AF174" s="258"/>
      <c r="AG174" s="240"/>
      <c r="AH174" s="240">
        <f t="shared" si="90"/>
        <v>0</v>
      </c>
      <c r="AI174" s="240">
        <f t="shared" si="91"/>
        <v>0</v>
      </c>
      <c r="AJ174" s="240">
        <f t="shared" si="92"/>
        <v>0</v>
      </c>
      <c r="AK174" s="325"/>
      <c r="AL174" s="244"/>
      <c r="AM174" s="236">
        <f t="shared" si="93"/>
        <v>0</v>
      </c>
      <c r="AN174" s="348"/>
    </row>
    <row r="175" spans="1:40" s="338" customFormat="1" ht="19.5" customHeight="1">
      <c r="A175" s="275"/>
      <c r="B175" s="311" t="s">
        <v>1521</v>
      </c>
      <c r="C175" s="250" t="s">
        <v>1341</v>
      </c>
      <c r="D175" s="319" t="s">
        <v>1517</v>
      </c>
      <c r="E175" s="350" t="s">
        <v>1522</v>
      </c>
      <c r="F175" s="235">
        <v>8200</v>
      </c>
      <c r="G175" s="236">
        <v>8200</v>
      </c>
      <c r="H175" s="236">
        <v>3240</v>
      </c>
      <c r="I175" s="237">
        <f t="shared" si="96"/>
        <v>1800</v>
      </c>
      <c r="J175" s="238"/>
      <c r="K175" s="237">
        <v>1800</v>
      </c>
      <c r="L175" s="237"/>
      <c r="M175" s="237"/>
      <c r="N175" s="239">
        <f t="shared" si="94"/>
        <v>1800</v>
      </c>
      <c r="O175" s="239"/>
      <c r="P175" s="239">
        <f t="shared" si="99"/>
        <v>1800</v>
      </c>
      <c r="Q175" s="239">
        <v>1800</v>
      </c>
      <c r="R175" s="239"/>
      <c r="S175" s="239"/>
      <c r="T175" s="301"/>
      <c r="U175" s="235"/>
      <c r="V175" s="240">
        <f t="shared" si="97"/>
        <v>0</v>
      </c>
      <c r="W175" s="240"/>
      <c r="X175" s="240"/>
      <c r="Y175" s="240">
        <v>1800000000</v>
      </c>
      <c r="Z175" s="302"/>
      <c r="AA175" s="302"/>
      <c r="AB175" s="241">
        <f t="shared" si="98"/>
        <v>1800000000</v>
      </c>
      <c r="AC175" s="242">
        <f t="shared" si="89"/>
        <v>1800000000</v>
      </c>
      <c r="AD175" s="302">
        <v>1800000000</v>
      </c>
      <c r="AE175" s="302"/>
      <c r="AF175" s="302"/>
      <c r="AG175" s="240"/>
      <c r="AH175" s="240">
        <f t="shared" si="90"/>
        <v>0</v>
      </c>
      <c r="AI175" s="240">
        <f t="shared" si="91"/>
        <v>0</v>
      </c>
      <c r="AJ175" s="240">
        <f t="shared" si="92"/>
        <v>0</v>
      </c>
      <c r="AK175" s="336"/>
      <c r="AL175" s="244"/>
      <c r="AM175" s="236">
        <f t="shared" si="93"/>
        <v>0</v>
      </c>
      <c r="AN175" s="349"/>
    </row>
    <row r="176" spans="1:40" s="338" customFormat="1" ht="19.5" customHeight="1">
      <c r="A176" s="275"/>
      <c r="B176" s="311" t="s">
        <v>1523</v>
      </c>
      <c r="C176" s="250" t="s">
        <v>1341</v>
      </c>
      <c r="D176" s="319" t="s">
        <v>1339</v>
      </c>
      <c r="E176" s="350"/>
      <c r="F176" s="235">
        <v>3000</v>
      </c>
      <c r="G176" s="236">
        <v>1500</v>
      </c>
      <c r="H176" s="236">
        <v>1500</v>
      </c>
      <c r="I176" s="237">
        <f t="shared" si="96"/>
        <v>400</v>
      </c>
      <c r="J176" s="238"/>
      <c r="K176" s="237">
        <v>400</v>
      </c>
      <c r="L176" s="237"/>
      <c r="M176" s="237"/>
      <c r="N176" s="239">
        <f t="shared" si="94"/>
        <v>400</v>
      </c>
      <c r="O176" s="239"/>
      <c r="P176" s="239">
        <f t="shared" si="99"/>
        <v>400</v>
      </c>
      <c r="Q176" s="239">
        <v>400</v>
      </c>
      <c r="R176" s="239"/>
      <c r="S176" s="239"/>
      <c r="T176" s="301"/>
      <c r="U176" s="235"/>
      <c r="V176" s="240">
        <f t="shared" si="97"/>
        <v>0</v>
      </c>
      <c r="W176" s="240"/>
      <c r="X176" s="240"/>
      <c r="Y176" s="240">
        <v>400000000</v>
      </c>
      <c r="Z176" s="302"/>
      <c r="AA176" s="302"/>
      <c r="AB176" s="241">
        <f t="shared" si="98"/>
        <v>400000000</v>
      </c>
      <c r="AC176" s="242">
        <f t="shared" si="89"/>
        <v>400000000</v>
      </c>
      <c r="AD176" s="240">
        <v>400000000</v>
      </c>
      <c r="AE176" s="302"/>
      <c r="AF176" s="302"/>
      <c r="AG176" s="240"/>
      <c r="AH176" s="240">
        <f t="shared" si="90"/>
        <v>0</v>
      </c>
      <c r="AI176" s="240">
        <f t="shared" si="91"/>
        <v>0</v>
      </c>
      <c r="AJ176" s="240">
        <f t="shared" si="92"/>
        <v>0</v>
      </c>
      <c r="AK176" s="336"/>
      <c r="AL176" s="244"/>
      <c r="AM176" s="236">
        <f t="shared" si="93"/>
        <v>0</v>
      </c>
      <c r="AN176" s="404"/>
    </row>
    <row r="177" spans="1:40" s="340" customFormat="1" ht="19.5" customHeight="1">
      <c r="A177" s="278"/>
      <c r="B177" s="311" t="s">
        <v>1524</v>
      </c>
      <c r="C177" s="250" t="s">
        <v>1341</v>
      </c>
      <c r="D177" s="319" t="s">
        <v>1339</v>
      </c>
      <c r="E177" s="350"/>
      <c r="F177" s="235">
        <v>18000</v>
      </c>
      <c r="G177" s="236">
        <v>1500</v>
      </c>
      <c r="H177" s="236">
        <v>1500</v>
      </c>
      <c r="I177" s="237">
        <f t="shared" si="96"/>
        <v>1500</v>
      </c>
      <c r="J177" s="256"/>
      <c r="K177" s="237">
        <v>1500</v>
      </c>
      <c r="L177" s="237"/>
      <c r="M177" s="237"/>
      <c r="N177" s="239">
        <f t="shared" si="94"/>
        <v>1500</v>
      </c>
      <c r="O177" s="239"/>
      <c r="P177" s="239">
        <f t="shared" si="99"/>
        <v>1500</v>
      </c>
      <c r="Q177" s="239">
        <v>1500</v>
      </c>
      <c r="R177" s="239"/>
      <c r="S177" s="239"/>
      <c r="T177" s="257"/>
      <c r="U177" s="254"/>
      <c r="V177" s="240">
        <f t="shared" si="97"/>
        <v>0</v>
      </c>
      <c r="W177" s="240"/>
      <c r="X177" s="240"/>
      <c r="Y177" s="240">
        <v>1500000000</v>
      </c>
      <c r="Z177" s="258"/>
      <c r="AA177" s="258"/>
      <c r="AB177" s="241">
        <f t="shared" si="98"/>
        <v>1500000000</v>
      </c>
      <c r="AC177" s="242">
        <f t="shared" si="89"/>
        <v>1500000000</v>
      </c>
      <c r="AD177" s="242">
        <v>1500000000</v>
      </c>
      <c r="AE177" s="258"/>
      <c r="AF177" s="258"/>
      <c r="AG177" s="240"/>
      <c r="AH177" s="240">
        <f t="shared" si="90"/>
        <v>0</v>
      </c>
      <c r="AI177" s="240">
        <f t="shared" si="91"/>
        <v>0</v>
      </c>
      <c r="AJ177" s="240">
        <f t="shared" si="92"/>
        <v>0</v>
      </c>
      <c r="AK177" s="325"/>
      <c r="AL177" s="244"/>
      <c r="AM177" s="236">
        <f t="shared" si="93"/>
        <v>0</v>
      </c>
      <c r="AN177" s="347"/>
    </row>
    <row r="178" spans="1:40" s="327" customFormat="1" ht="19.5" customHeight="1">
      <c r="A178" s="278"/>
      <c r="B178" s="231" t="s">
        <v>1255</v>
      </c>
      <c r="C178" s="350" t="s">
        <v>1355</v>
      </c>
      <c r="D178" s="230">
        <v>2012</v>
      </c>
      <c r="E178" s="320"/>
      <c r="F178" s="235">
        <v>8000</v>
      </c>
      <c r="G178" s="236"/>
      <c r="H178" s="236"/>
      <c r="I178" s="237">
        <f t="shared" si="96"/>
        <v>1744</v>
      </c>
      <c r="J178" s="256"/>
      <c r="K178" s="237">
        <v>1744</v>
      </c>
      <c r="L178" s="237"/>
      <c r="M178" s="237"/>
      <c r="N178" s="239">
        <f t="shared" si="94"/>
        <v>1744</v>
      </c>
      <c r="O178" s="239"/>
      <c r="P178" s="239">
        <f t="shared" si="99"/>
        <v>1744</v>
      </c>
      <c r="Q178" s="239">
        <v>1744</v>
      </c>
      <c r="R178" s="239"/>
      <c r="S178" s="239"/>
      <c r="T178" s="257"/>
      <c r="U178" s="254"/>
      <c r="V178" s="240"/>
      <c r="W178" s="240"/>
      <c r="X178" s="240"/>
      <c r="Y178" s="240">
        <v>1744000000</v>
      </c>
      <c r="Z178" s="258"/>
      <c r="AA178" s="258"/>
      <c r="AB178" s="241">
        <f t="shared" si="98"/>
        <v>1744000000</v>
      </c>
      <c r="AC178" s="242">
        <f t="shared" si="89"/>
        <v>1744000000</v>
      </c>
      <c r="AD178" s="242">
        <v>1744000000</v>
      </c>
      <c r="AE178" s="258"/>
      <c r="AF178" s="258"/>
      <c r="AG178" s="240"/>
      <c r="AH178" s="240">
        <f t="shared" si="90"/>
        <v>0</v>
      </c>
      <c r="AI178" s="240">
        <f t="shared" si="91"/>
        <v>0</v>
      </c>
      <c r="AJ178" s="240">
        <f t="shared" si="92"/>
        <v>0</v>
      </c>
      <c r="AK178" s="258"/>
      <c r="AL178" s="244"/>
      <c r="AM178" s="236">
        <f t="shared" si="93"/>
        <v>0</v>
      </c>
      <c r="AN178" s="347"/>
    </row>
    <row r="179" spans="1:40" s="327" customFormat="1" ht="19.5" customHeight="1">
      <c r="A179" s="278"/>
      <c r="B179" s="231" t="s">
        <v>1257</v>
      </c>
      <c r="C179" s="350"/>
      <c r="D179" s="230"/>
      <c r="E179" s="320"/>
      <c r="F179" s="235"/>
      <c r="G179" s="236"/>
      <c r="H179" s="236"/>
      <c r="I179" s="237">
        <f t="shared" si="96"/>
        <v>1750</v>
      </c>
      <c r="J179" s="256"/>
      <c r="K179" s="237">
        <v>1750</v>
      </c>
      <c r="L179" s="237"/>
      <c r="M179" s="237"/>
      <c r="N179" s="239">
        <f t="shared" si="94"/>
        <v>1636.315</v>
      </c>
      <c r="O179" s="239"/>
      <c r="P179" s="239">
        <f t="shared" si="99"/>
        <v>1636.315</v>
      </c>
      <c r="Q179" s="239">
        <v>1636.315</v>
      </c>
      <c r="R179" s="239"/>
      <c r="S179" s="239"/>
      <c r="T179" s="257"/>
      <c r="U179" s="254"/>
      <c r="V179" s="240">
        <f t="shared" si="97"/>
        <v>0</v>
      </c>
      <c r="W179" s="240"/>
      <c r="X179" s="240"/>
      <c r="Y179" s="240">
        <v>1750000000</v>
      </c>
      <c r="Z179" s="258"/>
      <c r="AA179" s="258"/>
      <c r="AB179" s="241">
        <f t="shared" si="98"/>
        <v>1750000000</v>
      </c>
      <c r="AC179" s="242">
        <f t="shared" si="89"/>
        <v>1636315000</v>
      </c>
      <c r="AD179" s="242">
        <v>1636315000</v>
      </c>
      <c r="AE179" s="258"/>
      <c r="AF179" s="258"/>
      <c r="AG179" s="240"/>
      <c r="AH179" s="240">
        <f t="shared" si="90"/>
        <v>113685000</v>
      </c>
      <c r="AI179" s="240">
        <f t="shared" si="91"/>
        <v>111954000</v>
      </c>
      <c r="AJ179" s="240">
        <f t="shared" si="92"/>
        <v>0</v>
      </c>
      <c r="AK179" s="242">
        <v>111954000</v>
      </c>
      <c r="AL179" s="244">
        <v>1731000</v>
      </c>
      <c r="AM179" s="236">
        <f t="shared" si="93"/>
        <v>0</v>
      </c>
      <c r="AN179" s="347"/>
    </row>
    <row r="180" spans="1:40" s="327" customFormat="1" ht="19.5" customHeight="1">
      <c r="A180" s="278"/>
      <c r="B180" s="231" t="s">
        <v>1525</v>
      </c>
      <c r="C180" s="350"/>
      <c r="D180" s="230"/>
      <c r="E180" s="320"/>
      <c r="F180" s="235"/>
      <c r="G180" s="236"/>
      <c r="H180" s="236"/>
      <c r="I180" s="237">
        <f t="shared" si="96"/>
        <v>500</v>
      </c>
      <c r="J180" s="256"/>
      <c r="K180" s="237">
        <v>500</v>
      </c>
      <c r="L180" s="237"/>
      <c r="M180" s="237"/>
      <c r="N180" s="239">
        <f t="shared" si="94"/>
        <v>499.999</v>
      </c>
      <c r="O180" s="239"/>
      <c r="P180" s="239">
        <f t="shared" si="99"/>
        <v>499.999</v>
      </c>
      <c r="Q180" s="239">
        <v>499.999</v>
      </c>
      <c r="R180" s="239"/>
      <c r="S180" s="239"/>
      <c r="T180" s="257"/>
      <c r="U180" s="254"/>
      <c r="V180" s="240">
        <f t="shared" si="97"/>
        <v>0</v>
      </c>
      <c r="W180" s="240"/>
      <c r="X180" s="240"/>
      <c r="Y180" s="240">
        <v>500000000</v>
      </c>
      <c r="Z180" s="258"/>
      <c r="AA180" s="258"/>
      <c r="AB180" s="241">
        <f t="shared" si="98"/>
        <v>500000000</v>
      </c>
      <c r="AC180" s="242">
        <f t="shared" si="89"/>
        <v>499999000</v>
      </c>
      <c r="AD180" s="242">
        <v>499999000</v>
      </c>
      <c r="AE180" s="258"/>
      <c r="AF180" s="258"/>
      <c r="AG180" s="240"/>
      <c r="AH180" s="240">
        <f t="shared" si="90"/>
        <v>0</v>
      </c>
      <c r="AI180" s="240">
        <f t="shared" si="91"/>
        <v>0</v>
      </c>
      <c r="AJ180" s="240">
        <f t="shared" si="92"/>
        <v>0</v>
      </c>
      <c r="AK180" s="258"/>
      <c r="AL180" s="244"/>
      <c r="AM180" s="236">
        <f t="shared" si="93"/>
        <v>1000</v>
      </c>
      <c r="AN180" s="347"/>
    </row>
    <row r="181" spans="1:40" s="327" customFormat="1" ht="19.5" customHeight="1">
      <c r="A181" s="278"/>
      <c r="B181" s="231" t="s">
        <v>1526</v>
      </c>
      <c r="C181" s="350"/>
      <c r="D181" s="230"/>
      <c r="E181" s="320"/>
      <c r="F181" s="235"/>
      <c r="G181" s="236"/>
      <c r="H181" s="236"/>
      <c r="I181" s="237">
        <f t="shared" si="96"/>
        <v>862</v>
      </c>
      <c r="J181" s="256"/>
      <c r="K181" s="237">
        <v>862</v>
      </c>
      <c r="L181" s="237"/>
      <c r="M181" s="237"/>
      <c r="N181" s="239">
        <f t="shared" si="94"/>
        <v>862</v>
      </c>
      <c r="O181" s="239"/>
      <c r="P181" s="239">
        <f t="shared" si="99"/>
        <v>862</v>
      </c>
      <c r="Q181" s="239">
        <v>862</v>
      </c>
      <c r="R181" s="239"/>
      <c r="S181" s="239"/>
      <c r="T181" s="257"/>
      <c r="U181" s="254"/>
      <c r="V181" s="240">
        <f t="shared" si="97"/>
        <v>0</v>
      </c>
      <c r="W181" s="240"/>
      <c r="X181" s="240"/>
      <c r="Y181" s="240">
        <v>862000000</v>
      </c>
      <c r="Z181" s="258">
        <v>500000000</v>
      </c>
      <c r="AA181" s="258"/>
      <c r="AB181" s="241">
        <f t="shared" si="98"/>
        <v>1362000000</v>
      </c>
      <c r="AC181" s="242">
        <f t="shared" si="89"/>
        <v>862000000</v>
      </c>
      <c r="AD181" s="242">
        <v>862000000</v>
      </c>
      <c r="AE181" s="258"/>
      <c r="AF181" s="258"/>
      <c r="AG181" s="240"/>
      <c r="AH181" s="240">
        <f t="shared" si="90"/>
        <v>500000000</v>
      </c>
      <c r="AI181" s="240">
        <f t="shared" si="91"/>
        <v>0</v>
      </c>
      <c r="AJ181" s="240">
        <f t="shared" si="92"/>
        <v>0</v>
      </c>
      <c r="AK181" s="258"/>
      <c r="AL181" s="244">
        <v>500000000</v>
      </c>
      <c r="AM181" s="236">
        <f t="shared" si="93"/>
        <v>0</v>
      </c>
      <c r="AN181" s="347"/>
    </row>
    <row r="182" spans="1:40" s="327" customFormat="1" ht="19.5" customHeight="1">
      <c r="A182" s="278"/>
      <c r="B182" s="231" t="s">
        <v>1527</v>
      </c>
      <c r="C182" s="350"/>
      <c r="D182" s="230"/>
      <c r="E182" s="320"/>
      <c r="F182" s="235"/>
      <c r="G182" s="236"/>
      <c r="H182" s="236"/>
      <c r="I182" s="237">
        <f t="shared" si="96"/>
        <v>620</v>
      </c>
      <c r="J182" s="256"/>
      <c r="K182" s="237">
        <v>620</v>
      </c>
      <c r="L182" s="237"/>
      <c r="M182" s="237"/>
      <c r="N182" s="239">
        <f t="shared" si="94"/>
        <v>611.456</v>
      </c>
      <c r="O182" s="239"/>
      <c r="P182" s="239">
        <f t="shared" si="99"/>
        <v>611.456</v>
      </c>
      <c r="Q182" s="239">
        <v>611.456</v>
      </c>
      <c r="R182" s="239"/>
      <c r="S182" s="239"/>
      <c r="T182" s="257"/>
      <c r="U182" s="254"/>
      <c r="V182" s="240">
        <f t="shared" si="97"/>
        <v>0</v>
      </c>
      <c r="W182" s="240"/>
      <c r="X182" s="240"/>
      <c r="Y182" s="240">
        <v>620000000</v>
      </c>
      <c r="Z182" s="258"/>
      <c r="AA182" s="258">
        <v>8544000</v>
      </c>
      <c r="AB182" s="241">
        <f t="shared" si="98"/>
        <v>611456000</v>
      </c>
      <c r="AC182" s="242">
        <f t="shared" si="89"/>
        <v>611456000</v>
      </c>
      <c r="AD182" s="242">
        <v>611456000</v>
      </c>
      <c r="AE182" s="258"/>
      <c r="AF182" s="258"/>
      <c r="AG182" s="240"/>
      <c r="AH182" s="240">
        <f t="shared" si="90"/>
        <v>0</v>
      </c>
      <c r="AI182" s="240">
        <f t="shared" si="91"/>
        <v>0</v>
      </c>
      <c r="AJ182" s="240">
        <f t="shared" si="92"/>
        <v>0</v>
      </c>
      <c r="AK182" s="258"/>
      <c r="AL182" s="244"/>
      <c r="AM182" s="236">
        <f t="shared" si="93"/>
        <v>0</v>
      </c>
      <c r="AN182" s="347"/>
    </row>
    <row r="183" spans="1:40" s="327" customFormat="1" ht="19.5" customHeight="1">
      <c r="A183" s="278"/>
      <c r="B183" s="231" t="s">
        <v>1528</v>
      </c>
      <c r="C183" s="350"/>
      <c r="D183" s="230"/>
      <c r="E183" s="320"/>
      <c r="F183" s="235"/>
      <c r="G183" s="236"/>
      <c r="H183" s="236"/>
      <c r="I183" s="237">
        <f t="shared" si="96"/>
        <v>720</v>
      </c>
      <c r="J183" s="256"/>
      <c r="K183" s="237">
        <v>720</v>
      </c>
      <c r="L183" s="237"/>
      <c r="M183" s="237"/>
      <c r="N183" s="239">
        <f t="shared" si="94"/>
        <v>720</v>
      </c>
      <c r="O183" s="239"/>
      <c r="P183" s="239">
        <f t="shared" si="99"/>
        <v>720</v>
      </c>
      <c r="Q183" s="239">
        <v>720</v>
      </c>
      <c r="R183" s="239"/>
      <c r="S183" s="239"/>
      <c r="T183" s="257"/>
      <c r="U183" s="254"/>
      <c r="V183" s="240">
        <f t="shared" si="97"/>
        <v>0</v>
      </c>
      <c r="W183" s="240"/>
      <c r="X183" s="240"/>
      <c r="Y183" s="240">
        <v>720000000</v>
      </c>
      <c r="Z183" s="258"/>
      <c r="AA183" s="258"/>
      <c r="AB183" s="241">
        <f t="shared" si="98"/>
        <v>720000000</v>
      </c>
      <c r="AC183" s="242">
        <f t="shared" si="89"/>
        <v>720000000</v>
      </c>
      <c r="AD183" s="242">
        <v>720000000</v>
      </c>
      <c r="AE183" s="258"/>
      <c r="AF183" s="258"/>
      <c r="AG183" s="240"/>
      <c r="AH183" s="240">
        <f t="shared" si="90"/>
        <v>0</v>
      </c>
      <c r="AI183" s="240">
        <f t="shared" si="91"/>
        <v>0</v>
      </c>
      <c r="AJ183" s="240">
        <f t="shared" si="92"/>
        <v>0</v>
      </c>
      <c r="AK183" s="258"/>
      <c r="AL183" s="244"/>
      <c r="AM183" s="236">
        <f t="shared" si="93"/>
        <v>0</v>
      </c>
      <c r="AN183" s="347"/>
    </row>
    <row r="184" spans="1:40" s="327" customFormat="1" ht="19.5" customHeight="1">
      <c r="A184" s="278"/>
      <c r="B184" s="231" t="s">
        <v>1529</v>
      </c>
      <c r="C184" s="350" t="s">
        <v>1053</v>
      </c>
      <c r="D184" s="230">
        <v>2014</v>
      </c>
      <c r="E184" s="320"/>
      <c r="F184" s="235">
        <v>7000</v>
      </c>
      <c r="G184" s="236"/>
      <c r="H184" s="236"/>
      <c r="I184" s="237">
        <f t="shared" si="96"/>
        <v>2285</v>
      </c>
      <c r="J184" s="256"/>
      <c r="K184" s="237">
        <v>2285</v>
      </c>
      <c r="L184" s="237"/>
      <c r="M184" s="237"/>
      <c r="N184" s="239">
        <f t="shared" si="94"/>
        <v>2155</v>
      </c>
      <c r="O184" s="239"/>
      <c r="P184" s="239">
        <f t="shared" si="99"/>
        <v>2155</v>
      </c>
      <c r="Q184" s="239">
        <v>2155</v>
      </c>
      <c r="R184" s="239"/>
      <c r="S184" s="239"/>
      <c r="T184" s="257"/>
      <c r="U184" s="254"/>
      <c r="V184" s="240">
        <f t="shared" si="97"/>
        <v>0</v>
      </c>
      <c r="W184" s="240"/>
      <c r="X184" s="240"/>
      <c r="Y184" s="240">
        <v>2285000000</v>
      </c>
      <c r="Z184" s="258"/>
      <c r="AA184" s="258"/>
      <c r="AB184" s="241">
        <f t="shared" si="98"/>
        <v>2285000000</v>
      </c>
      <c r="AC184" s="242">
        <f t="shared" si="89"/>
        <v>2155000000</v>
      </c>
      <c r="AD184" s="242">
        <v>2155000000</v>
      </c>
      <c r="AE184" s="258"/>
      <c r="AF184" s="258"/>
      <c r="AG184" s="240"/>
      <c r="AH184" s="240">
        <f t="shared" si="90"/>
        <v>130000000</v>
      </c>
      <c r="AI184" s="240">
        <f t="shared" si="91"/>
        <v>130000000</v>
      </c>
      <c r="AJ184" s="240">
        <f t="shared" si="92"/>
        <v>0</v>
      </c>
      <c r="AK184" s="341">
        <v>130000000</v>
      </c>
      <c r="AL184" s="244"/>
      <c r="AM184" s="236">
        <f t="shared" si="93"/>
        <v>0</v>
      </c>
      <c r="AN184" s="326"/>
    </row>
    <row r="185" spans="1:40" s="340" customFormat="1" ht="19.5" customHeight="1">
      <c r="A185" s="278"/>
      <c r="B185" s="311" t="s">
        <v>1530</v>
      </c>
      <c r="C185" s="250" t="s">
        <v>1051</v>
      </c>
      <c r="D185" s="319" t="s">
        <v>1356</v>
      </c>
      <c r="E185" s="350" t="s">
        <v>1531</v>
      </c>
      <c r="F185" s="235">
        <v>16000</v>
      </c>
      <c r="G185" s="236">
        <v>15858</v>
      </c>
      <c r="H185" s="236">
        <v>12935</v>
      </c>
      <c r="I185" s="237">
        <f t="shared" si="96"/>
        <v>2000</v>
      </c>
      <c r="J185" s="256"/>
      <c r="K185" s="237">
        <v>2000</v>
      </c>
      <c r="L185" s="237"/>
      <c r="M185" s="237"/>
      <c r="N185" s="239">
        <f t="shared" si="94"/>
        <v>1812.622</v>
      </c>
      <c r="O185" s="239"/>
      <c r="P185" s="239">
        <f t="shared" si="99"/>
        <v>1812.622</v>
      </c>
      <c r="Q185" s="239">
        <v>1812.622</v>
      </c>
      <c r="R185" s="239"/>
      <c r="S185" s="239"/>
      <c r="T185" s="257"/>
      <c r="U185" s="254"/>
      <c r="V185" s="240">
        <f t="shared" si="97"/>
        <v>0</v>
      </c>
      <c r="W185" s="240"/>
      <c r="X185" s="240"/>
      <c r="Y185" s="240">
        <v>2000000000</v>
      </c>
      <c r="Z185" s="258"/>
      <c r="AA185" s="258"/>
      <c r="AB185" s="241">
        <f t="shared" si="98"/>
        <v>2000000000</v>
      </c>
      <c r="AC185" s="242">
        <f t="shared" si="89"/>
        <v>1812622000</v>
      </c>
      <c r="AD185" s="242">
        <v>1812622000</v>
      </c>
      <c r="AE185" s="258"/>
      <c r="AF185" s="258"/>
      <c r="AG185" s="240"/>
      <c r="AH185" s="240">
        <f t="shared" si="90"/>
        <v>187378000</v>
      </c>
      <c r="AI185" s="240">
        <f t="shared" si="91"/>
        <v>187378000</v>
      </c>
      <c r="AJ185" s="240">
        <f t="shared" si="92"/>
        <v>0</v>
      </c>
      <c r="AK185" s="242">
        <v>187378000</v>
      </c>
      <c r="AL185" s="244"/>
      <c r="AM185" s="236">
        <f t="shared" si="93"/>
        <v>0</v>
      </c>
      <c r="AN185" s="339"/>
    </row>
    <row r="186" spans="1:40" s="340" customFormat="1" ht="19.5" customHeight="1">
      <c r="A186" s="278"/>
      <c r="B186" s="311" t="s">
        <v>1532</v>
      </c>
      <c r="C186" s="250" t="s">
        <v>1051</v>
      </c>
      <c r="D186" s="319" t="s">
        <v>1356</v>
      </c>
      <c r="E186" s="350" t="s">
        <v>1533</v>
      </c>
      <c r="F186" s="235">
        <v>8052</v>
      </c>
      <c r="G186" s="236">
        <v>7891</v>
      </c>
      <c r="H186" s="236">
        <v>6188</v>
      </c>
      <c r="I186" s="237">
        <f t="shared" si="96"/>
        <v>1800</v>
      </c>
      <c r="J186" s="256"/>
      <c r="K186" s="237">
        <v>1800</v>
      </c>
      <c r="L186" s="237"/>
      <c r="M186" s="237"/>
      <c r="N186" s="239">
        <f t="shared" si="94"/>
        <v>838.949</v>
      </c>
      <c r="O186" s="239"/>
      <c r="P186" s="239">
        <f t="shared" si="99"/>
        <v>838.949</v>
      </c>
      <c r="Q186" s="239">
        <v>838.949</v>
      </c>
      <c r="R186" s="239"/>
      <c r="S186" s="239"/>
      <c r="T186" s="257"/>
      <c r="U186" s="254"/>
      <c r="V186" s="240">
        <f t="shared" si="97"/>
        <v>0</v>
      </c>
      <c r="W186" s="240"/>
      <c r="X186" s="240"/>
      <c r="Y186" s="240">
        <v>1800000000</v>
      </c>
      <c r="Z186" s="258"/>
      <c r="AA186" s="258">
        <v>961051000</v>
      </c>
      <c r="AB186" s="241">
        <f t="shared" si="98"/>
        <v>838949000</v>
      </c>
      <c r="AC186" s="242">
        <f t="shared" si="89"/>
        <v>838949000</v>
      </c>
      <c r="AD186" s="242">
        <v>838949000</v>
      </c>
      <c r="AE186" s="258"/>
      <c r="AF186" s="258"/>
      <c r="AG186" s="240"/>
      <c r="AH186" s="240">
        <f t="shared" si="90"/>
        <v>0</v>
      </c>
      <c r="AI186" s="240">
        <f t="shared" si="91"/>
        <v>0</v>
      </c>
      <c r="AJ186" s="240">
        <f t="shared" si="92"/>
        <v>0</v>
      </c>
      <c r="AK186" s="325"/>
      <c r="AL186" s="244"/>
      <c r="AM186" s="236">
        <f t="shared" si="93"/>
        <v>0</v>
      </c>
      <c r="AN186" s="339"/>
    </row>
    <row r="187" spans="1:40" s="340" customFormat="1" ht="19.5" customHeight="1">
      <c r="A187" s="278"/>
      <c r="B187" s="311" t="s">
        <v>1534</v>
      </c>
      <c r="C187" s="250" t="s">
        <v>1316</v>
      </c>
      <c r="D187" s="319" t="s">
        <v>1362</v>
      </c>
      <c r="E187" s="350"/>
      <c r="F187" s="235">
        <v>14000</v>
      </c>
      <c r="G187" s="236">
        <v>14000</v>
      </c>
      <c r="H187" s="236">
        <v>5400</v>
      </c>
      <c r="I187" s="237">
        <f t="shared" si="96"/>
        <v>3000</v>
      </c>
      <c r="J187" s="256"/>
      <c r="K187" s="237">
        <v>3000</v>
      </c>
      <c r="L187" s="237"/>
      <c r="M187" s="237"/>
      <c r="N187" s="239">
        <f t="shared" si="94"/>
        <v>3000</v>
      </c>
      <c r="O187" s="239"/>
      <c r="P187" s="239">
        <f t="shared" si="99"/>
        <v>3000</v>
      </c>
      <c r="Q187" s="239">
        <v>3000</v>
      </c>
      <c r="R187" s="239"/>
      <c r="S187" s="239"/>
      <c r="T187" s="257"/>
      <c r="U187" s="254"/>
      <c r="V187" s="240">
        <f t="shared" si="97"/>
        <v>0</v>
      </c>
      <c r="W187" s="240"/>
      <c r="X187" s="240"/>
      <c r="Y187" s="240">
        <v>3000000000</v>
      </c>
      <c r="Z187" s="258"/>
      <c r="AA187" s="258"/>
      <c r="AB187" s="241">
        <f t="shared" si="98"/>
        <v>3000000000</v>
      </c>
      <c r="AC187" s="242">
        <f t="shared" si="89"/>
        <v>3000000000</v>
      </c>
      <c r="AD187" s="240">
        <v>3000000000</v>
      </c>
      <c r="AE187" s="258"/>
      <c r="AF187" s="258"/>
      <c r="AG187" s="240"/>
      <c r="AH187" s="240">
        <f t="shared" si="90"/>
        <v>0</v>
      </c>
      <c r="AI187" s="240">
        <f t="shared" si="91"/>
        <v>0</v>
      </c>
      <c r="AJ187" s="240">
        <f t="shared" si="92"/>
        <v>0</v>
      </c>
      <c r="AK187" s="325"/>
      <c r="AL187" s="244"/>
      <c r="AM187" s="236">
        <f t="shared" si="93"/>
        <v>0</v>
      </c>
      <c r="AN187" s="339"/>
    </row>
    <row r="188" spans="1:40" s="340" customFormat="1" ht="28.5" customHeight="1">
      <c r="A188" s="278"/>
      <c r="B188" s="231" t="s">
        <v>1535</v>
      </c>
      <c r="C188" s="250" t="s">
        <v>1368</v>
      </c>
      <c r="D188" s="319" t="s">
        <v>1536</v>
      </c>
      <c r="E188" s="350"/>
      <c r="F188" s="235">
        <v>196</v>
      </c>
      <c r="G188" s="236"/>
      <c r="H188" s="236"/>
      <c r="I188" s="237">
        <f t="shared" si="96"/>
        <v>196</v>
      </c>
      <c r="J188" s="256"/>
      <c r="K188" s="237">
        <v>196</v>
      </c>
      <c r="L188" s="237"/>
      <c r="M188" s="237"/>
      <c r="N188" s="239">
        <f t="shared" si="94"/>
        <v>195.217</v>
      </c>
      <c r="O188" s="239"/>
      <c r="P188" s="239">
        <f t="shared" si="99"/>
        <v>195.217</v>
      </c>
      <c r="Q188" s="239">
        <v>195.217</v>
      </c>
      <c r="R188" s="239"/>
      <c r="S188" s="239"/>
      <c r="T188" s="257"/>
      <c r="U188" s="254"/>
      <c r="V188" s="240">
        <f t="shared" si="97"/>
        <v>0</v>
      </c>
      <c r="W188" s="240"/>
      <c r="X188" s="240"/>
      <c r="Y188" s="240">
        <v>196000000</v>
      </c>
      <c r="Z188" s="258"/>
      <c r="AA188" s="258">
        <v>783000</v>
      </c>
      <c r="AB188" s="241">
        <f t="shared" si="98"/>
        <v>195217000</v>
      </c>
      <c r="AC188" s="242">
        <f t="shared" si="89"/>
        <v>195217000</v>
      </c>
      <c r="AD188" s="242">
        <v>195217000</v>
      </c>
      <c r="AE188" s="258"/>
      <c r="AF188" s="258"/>
      <c r="AG188" s="240"/>
      <c r="AH188" s="240">
        <f t="shared" si="90"/>
        <v>0</v>
      </c>
      <c r="AI188" s="240">
        <f t="shared" si="91"/>
        <v>0</v>
      </c>
      <c r="AJ188" s="240">
        <f t="shared" si="92"/>
        <v>0</v>
      </c>
      <c r="AK188" s="325"/>
      <c r="AL188" s="244"/>
      <c r="AM188" s="236">
        <f t="shared" si="93"/>
        <v>0</v>
      </c>
      <c r="AN188" s="339"/>
    </row>
    <row r="189" spans="1:40" s="338" customFormat="1" ht="19.5" customHeight="1">
      <c r="A189" s="275"/>
      <c r="B189" s="405" t="s">
        <v>1537</v>
      </c>
      <c r="C189" s="250" t="s">
        <v>1341</v>
      </c>
      <c r="D189" s="319"/>
      <c r="E189" s="350"/>
      <c r="F189" s="235"/>
      <c r="G189" s="236"/>
      <c r="H189" s="236"/>
      <c r="I189" s="237">
        <f t="shared" si="96"/>
        <v>23.84</v>
      </c>
      <c r="J189" s="238"/>
      <c r="K189" s="237">
        <v>23.84</v>
      </c>
      <c r="L189" s="237"/>
      <c r="M189" s="237"/>
      <c r="N189" s="239">
        <f t="shared" si="94"/>
        <v>23.835</v>
      </c>
      <c r="O189" s="239"/>
      <c r="P189" s="239">
        <f t="shared" si="99"/>
        <v>23.835</v>
      </c>
      <c r="Q189" s="239">
        <v>23.835</v>
      </c>
      <c r="R189" s="239"/>
      <c r="S189" s="239"/>
      <c r="T189" s="301"/>
      <c r="U189" s="235"/>
      <c r="V189" s="240">
        <f t="shared" si="97"/>
        <v>0</v>
      </c>
      <c r="W189" s="240"/>
      <c r="X189" s="240"/>
      <c r="Y189" s="240">
        <v>23840000</v>
      </c>
      <c r="Z189" s="302"/>
      <c r="AA189" s="302"/>
      <c r="AB189" s="241">
        <f t="shared" si="98"/>
        <v>23840000</v>
      </c>
      <c r="AC189" s="242">
        <f t="shared" si="89"/>
        <v>23835000</v>
      </c>
      <c r="AD189" s="312">
        <v>23835000</v>
      </c>
      <c r="AE189" s="302"/>
      <c r="AF189" s="302"/>
      <c r="AG189" s="240"/>
      <c r="AH189" s="240">
        <f t="shared" si="90"/>
        <v>0</v>
      </c>
      <c r="AI189" s="240">
        <f t="shared" si="91"/>
        <v>0</v>
      </c>
      <c r="AJ189" s="240">
        <f t="shared" si="92"/>
        <v>0</v>
      </c>
      <c r="AK189" s="336"/>
      <c r="AL189" s="244"/>
      <c r="AM189" s="236">
        <f t="shared" si="93"/>
        <v>5000</v>
      </c>
      <c r="AN189" s="313" t="s">
        <v>1347</v>
      </c>
    </row>
    <row r="190" spans="1:40" s="340" customFormat="1" ht="19.5" customHeight="1">
      <c r="A190" s="278"/>
      <c r="B190" s="231" t="s">
        <v>1538</v>
      </c>
      <c r="C190" s="250"/>
      <c r="D190" s="319"/>
      <c r="E190" s="350"/>
      <c r="F190" s="235"/>
      <c r="G190" s="236"/>
      <c r="H190" s="236"/>
      <c r="I190" s="237">
        <f t="shared" si="96"/>
        <v>6.77</v>
      </c>
      <c r="J190" s="256"/>
      <c r="K190" s="237">
        <v>6.77</v>
      </c>
      <c r="L190" s="237"/>
      <c r="M190" s="237"/>
      <c r="N190" s="239">
        <f t="shared" si="94"/>
        <v>6.768</v>
      </c>
      <c r="O190" s="239"/>
      <c r="P190" s="239">
        <f t="shared" si="99"/>
        <v>6.768</v>
      </c>
      <c r="Q190" s="239">
        <v>6.768</v>
      </c>
      <c r="R190" s="239"/>
      <c r="S190" s="239"/>
      <c r="T190" s="257"/>
      <c r="U190" s="254"/>
      <c r="V190" s="240">
        <f t="shared" si="97"/>
        <v>0</v>
      </c>
      <c r="W190" s="240"/>
      <c r="X190" s="240"/>
      <c r="Y190" s="240">
        <v>6770000</v>
      </c>
      <c r="Z190" s="258"/>
      <c r="AA190" s="258"/>
      <c r="AB190" s="241">
        <f t="shared" si="98"/>
        <v>6770000</v>
      </c>
      <c r="AC190" s="242">
        <f t="shared" si="89"/>
        <v>6768000</v>
      </c>
      <c r="AD190" s="312">
        <v>6768000</v>
      </c>
      <c r="AE190" s="258"/>
      <c r="AF190" s="258"/>
      <c r="AG190" s="240"/>
      <c r="AH190" s="240">
        <f t="shared" si="90"/>
        <v>0</v>
      </c>
      <c r="AI190" s="240">
        <f t="shared" si="91"/>
        <v>0</v>
      </c>
      <c r="AJ190" s="240">
        <f t="shared" si="92"/>
        <v>0</v>
      </c>
      <c r="AK190" s="325"/>
      <c r="AL190" s="244"/>
      <c r="AM190" s="236">
        <f t="shared" si="93"/>
        <v>2000</v>
      </c>
      <c r="AN190" s="313" t="s">
        <v>1347</v>
      </c>
    </row>
    <row r="191" spans="1:40" s="340" customFormat="1" ht="19.5" customHeight="1">
      <c r="A191" s="278"/>
      <c r="B191" s="231" t="s">
        <v>1539</v>
      </c>
      <c r="C191" s="250"/>
      <c r="D191" s="319"/>
      <c r="E191" s="350"/>
      <c r="F191" s="235"/>
      <c r="G191" s="236"/>
      <c r="H191" s="236"/>
      <c r="I191" s="237">
        <f t="shared" si="96"/>
        <v>30.33</v>
      </c>
      <c r="J191" s="256"/>
      <c r="K191" s="237">
        <v>30.33</v>
      </c>
      <c r="L191" s="237"/>
      <c r="M191" s="237"/>
      <c r="N191" s="239">
        <f t="shared" si="94"/>
        <v>30.323</v>
      </c>
      <c r="O191" s="239"/>
      <c r="P191" s="239">
        <f t="shared" si="99"/>
        <v>30.323</v>
      </c>
      <c r="Q191" s="239">
        <v>30.323</v>
      </c>
      <c r="R191" s="239"/>
      <c r="S191" s="239"/>
      <c r="T191" s="257"/>
      <c r="U191" s="254"/>
      <c r="V191" s="240">
        <f t="shared" si="97"/>
        <v>0</v>
      </c>
      <c r="W191" s="240"/>
      <c r="X191" s="240"/>
      <c r="Y191" s="240">
        <v>30330000</v>
      </c>
      <c r="Z191" s="258"/>
      <c r="AA191" s="258"/>
      <c r="AB191" s="241">
        <f t="shared" si="98"/>
        <v>30330000</v>
      </c>
      <c r="AC191" s="242">
        <f t="shared" si="89"/>
        <v>30323000</v>
      </c>
      <c r="AD191" s="312">
        <v>30323000</v>
      </c>
      <c r="AE191" s="258"/>
      <c r="AF191" s="258"/>
      <c r="AG191" s="240"/>
      <c r="AH191" s="240">
        <f t="shared" si="90"/>
        <v>0</v>
      </c>
      <c r="AI191" s="240">
        <f t="shared" si="91"/>
        <v>0</v>
      </c>
      <c r="AJ191" s="240">
        <f t="shared" si="92"/>
        <v>0</v>
      </c>
      <c r="AK191" s="325"/>
      <c r="AL191" s="244"/>
      <c r="AM191" s="236">
        <f t="shared" si="93"/>
        <v>7000</v>
      </c>
      <c r="AN191" s="313" t="s">
        <v>1347</v>
      </c>
    </row>
    <row r="192" spans="1:40" s="262" customFormat="1" ht="19.5" customHeight="1">
      <c r="A192" s="386"/>
      <c r="B192" s="299" t="s">
        <v>1540</v>
      </c>
      <c r="C192" s="250" t="s">
        <v>1273</v>
      </c>
      <c r="D192" s="230"/>
      <c r="E192" s="300"/>
      <c r="F192" s="235"/>
      <c r="G192" s="236"/>
      <c r="H192" s="236"/>
      <c r="I192" s="237">
        <f t="shared" si="96"/>
        <v>86.87</v>
      </c>
      <c r="J192" s="256"/>
      <c r="K192" s="237">
        <v>86.87</v>
      </c>
      <c r="L192" s="237"/>
      <c r="M192" s="237"/>
      <c r="N192" s="239">
        <f t="shared" si="94"/>
        <v>86.868</v>
      </c>
      <c r="O192" s="239"/>
      <c r="P192" s="239">
        <f t="shared" si="99"/>
        <v>86.868</v>
      </c>
      <c r="Q192" s="239">
        <v>86.868</v>
      </c>
      <c r="R192" s="239"/>
      <c r="S192" s="239"/>
      <c r="T192" s="257"/>
      <c r="U192" s="254"/>
      <c r="V192" s="240">
        <f t="shared" si="97"/>
        <v>0</v>
      </c>
      <c r="W192" s="240"/>
      <c r="X192" s="240"/>
      <c r="Y192" s="240">
        <v>86870000</v>
      </c>
      <c r="Z192" s="258"/>
      <c r="AA192" s="258"/>
      <c r="AB192" s="241">
        <f t="shared" si="98"/>
        <v>86870000</v>
      </c>
      <c r="AC192" s="242">
        <f t="shared" si="89"/>
        <v>86868000</v>
      </c>
      <c r="AD192" s="312">
        <v>86868000</v>
      </c>
      <c r="AE192" s="258"/>
      <c r="AF192" s="258"/>
      <c r="AG192" s="240"/>
      <c r="AH192" s="240">
        <f t="shared" si="90"/>
        <v>0</v>
      </c>
      <c r="AI192" s="240">
        <f t="shared" si="91"/>
        <v>0</v>
      </c>
      <c r="AJ192" s="240">
        <f t="shared" si="92"/>
        <v>0</v>
      </c>
      <c r="AK192" s="260"/>
      <c r="AL192" s="244"/>
      <c r="AM192" s="236">
        <f t="shared" si="93"/>
        <v>2000</v>
      </c>
      <c r="AN192" s="313" t="s">
        <v>1347</v>
      </c>
    </row>
    <row r="193" spans="1:40" s="262" customFormat="1" ht="19.5" customHeight="1">
      <c r="A193" s="386"/>
      <c r="B193" s="299" t="s">
        <v>1541</v>
      </c>
      <c r="C193" s="250" t="s">
        <v>1355</v>
      </c>
      <c r="D193" s="230"/>
      <c r="E193" s="300"/>
      <c r="F193" s="235"/>
      <c r="G193" s="236"/>
      <c r="H193" s="236"/>
      <c r="I193" s="237">
        <f t="shared" si="96"/>
        <v>60.8</v>
      </c>
      <c r="J193" s="256"/>
      <c r="K193" s="237">
        <v>60.8</v>
      </c>
      <c r="L193" s="237"/>
      <c r="M193" s="237"/>
      <c r="N193" s="239">
        <f t="shared" si="94"/>
        <v>41.57</v>
      </c>
      <c r="O193" s="239"/>
      <c r="P193" s="239">
        <f t="shared" si="99"/>
        <v>41.57</v>
      </c>
      <c r="Q193" s="239">
        <v>41.57</v>
      </c>
      <c r="R193" s="239"/>
      <c r="S193" s="239"/>
      <c r="T193" s="257"/>
      <c r="U193" s="254"/>
      <c r="V193" s="240">
        <f t="shared" si="97"/>
        <v>0</v>
      </c>
      <c r="W193" s="240"/>
      <c r="X193" s="240"/>
      <c r="Y193" s="240">
        <v>60800000</v>
      </c>
      <c r="Z193" s="258"/>
      <c r="AA193" s="258"/>
      <c r="AB193" s="241">
        <f t="shared" si="98"/>
        <v>60800000</v>
      </c>
      <c r="AC193" s="242">
        <f t="shared" si="89"/>
        <v>41570000</v>
      </c>
      <c r="AD193" s="312">
        <f>60797000-19227000</f>
        <v>41570000</v>
      </c>
      <c r="AE193" s="258"/>
      <c r="AF193" s="258"/>
      <c r="AG193" s="240"/>
      <c r="AH193" s="240">
        <f t="shared" si="90"/>
        <v>19227000</v>
      </c>
      <c r="AI193" s="240">
        <f t="shared" si="91"/>
        <v>19227000</v>
      </c>
      <c r="AJ193" s="240">
        <f t="shared" si="92"/>
        <v>0</v>
      </c>
      <c r="AK193" s="406">
        <v>19227000</v>
      </c>
      <c r="AL193" s="244"/>
      <c r="AM193" s="236">
        <f t="shared" si="93"/>
        <v>3000</v>
      </c>
      <c r="AN193" s="313" t="s">
        <v>1347</v>
      </c>
    </row>
    <row r="194" spans="1:41" s="376" customFormat="1" ht="19.5" customHeight="1">
      <c r="A194" s="275" t="s">
        <v>1542</v>
      </c>
      <c r="B194" s="287" t="s">
        <v>1543</v>
      </c>
      <c r="C194" s="288"/>
      <c r="D194" s="288"/>
      <c r="E194" s="289"/>
      <c r="F194" s="290"/>
      <c r="G194" s="291"/>
      <c r="H194" s="291"/>
      <c r="I194" s="282">
        <f>SUM(I195,I198)</f>
        <v>21860.96</v>
      </c>
      <c r="J194" s="282">
        <f aca="true" t="shared" si="100" ref="J194:AO194">SUM(J195,J198)</f>
        <v>0</v>
      </c>
      <c r="K194" s="282">
        <f t="shared" si="100"/>
        <v>21860.96</v>
      </c>
      <c r="L194" s="282">
        <f t="shared" si="100"/>
        <v>0</v>
      </c>
      <c r="M194" s="282">
        <f t="shared" si="100"/>
        <v>0</v>
      </c>
      <c r="N194" s="282">
        <f t="shared" si="100"/>
        <v>24575.762281999996</v>
      </c>
      <c r="O194" s="282">
        <f t="shared" si="100"/>
        <v>0</v>
      </c>
      <c r="P194" s="282">
        <f t="shared" si="100"/>
        <v>24575.762281999996</v>
      </c>
      <c r="Q194" s="282">
        <f t="shared" si="100"/>
        <v>18309.033</v>
      </c>
      <c r="R194" s="282">
        <f t="shared" si="100"/>
        <v>0</v>
      </c>
      <c r="S194" s="282">
        <f t="shared" si="100"/>
        <v>5267.829282000001</v>
      </c>
      <c r="T194" s="282">
        <f t="shared" si="100"/>
        <v>0</v>
      </c>
      <c r="U194" s="282">
        <f t="shared" si="100"/>
        <v>0</v>
      </c>
      <c r="V194" s="282">
        <f t="shared" si="100"/>
        <v>5293083797</v>
      </c>
      <c r="W194" s="282">
        <f t="shared" si="100"/>
        <v>5293083797</v>
      </c>
      <c r="X194" s="282">
        <f t="shared" si="100"/>
        <v>0</v>
      </c>
      <c r="Y194" s="282">
        <f t="shared" si="100"/>
        <v>14060960000</v>
      </c>
      <c r="Z194" s="282">
        <f t="shared" si="100"/>
        <v>1500000000</v>
      </c>
      <c r="AA194" s="282">
        <f t="shared" si="100"/>
        <v>359325000</v>
      </c>
      <c r="AB194" s="282">
        <f t="shared" si="100"/>
        <v>15201635000</v>
      </c>
      <c r="AC194" s="282">
        <f t="shared" si="100"/>
        <v>17669418282</v>
      </c>
      <c r="AD194" s="282">
        <f t="shared" si="100"/>
        <v>12401589000</v>
      </c>
      <c r="AE194" s="282">
        <f t="shared" si="100"/>
        <v>0</v>
      </c>
      <c r="AF194" s="282">
        <f t="shared" si="100"/>
        <v>5267829282</v>
      </c>
      <c r="AG194" s="282">
        <f t="shared" si="100"/>
        <v>25254515</v>
      </c>
      <c r="AH194" s="282">
        <f t="shared" si="100"/>
        <v>1300000000</v>
      </c>
      <c r="AI194" s="282">
        <f t="shared" si="100"/>
        <v>0</v>
      </c>
      <c r="AJ194" s="282">
        <f t="shared" si="100"/>
        <v>0</v>
      </c>
      <c r="AK194" s="282">
        <f t="shared" si="100"/>
        <v>0</v>
      </c>
      <c r="AL194" s="282">
        <f t="shared" si="100"/>
        <v>2800000000</v>
      </c>
      <c r="AM194" s="282">
        <f t="shared" si="100"/>
        <v>46000</v>
      </c>
      <c r="AN194" s="282">
        <f t="shared" si="100"/>
        <v>0</v>
      </c>
      <c r="AO194" s="282">
        <f t="shared" si="100"/>
        <v>0</v>
      </c>
    </row>
    <row r="195" spans="1:40" s="345" customFormat="1" ht="19.5" customHeight="1">
      <c r="A195" s="407"/>
      <c r="B195" s="217" t="s">
        <v>1327</v>
      </c>
      <c r="C195" s="408"/>
      <c r="D195" s="408"/>
      <c r="E195" s="409"/>
      <c r="F195" s="410"/>
      <c r="G195" s="411"/>
      <c r="H195" s="411"/>
      <c r="I195" s="282">
        <f>SUM(I196:I197)</f>
        <v>3800</v>
      </c>
      <c r="J195" s="282">
        <f aca="true" t="shared" si="101" ref="J195:U195">SUM(J196:J197)</f>
        <v>0</v>
      </c>
      <c r="K195" s="282">
        <f t="shared" si="101"/>
        <v>3800</v>
      </c>
      <c r="L195" s="282">
        <f t="shared" si="101"/>
        <v>0</v>
      </c>
      <c r="M195" s="282">
        <f t="shared" si="101"/>
        <v>0</v>
      </c>
      <c r="N195" s="282">
        <f t="shared" si="101"/>
        <v>2907.444</v>
      </c>
      <c r="O195" s="282">
        <f t="shared" si="101"/>
        <v>0</v>
      </c>
      <c r="P195" s="282">
        <f t="shared" si="101"/>
        <v>2907.444</v>
      </c>
      <c r="Q195" s="282">
        <f t="shared" si="101"/>
        <v>2907.444</v>
      </c>
      <c r="R195" s="282">
        <f t="shared" si="101"/>
        <v>0</v>
      </c>
      <c r="S195" s="282">
        <f t="shared" si="101"/>
        <v>0</v>
      </c>
      <c r="T195" s="282">
        <f t="shared" si="101"/>
        <v>0</v>
      </c>
      <c r="U195" s="282">
        <f t="shared" si="101"/>
        <v>0</v>
      </c>
      <c r="V195" s="240"/>
      <c r="W195" s="240"/>
      <c r="X195" s="240"/>
      <c r="Y195" s="240"/>
      <c r="Z195" s="336"/>
      <c r="AA195" s="336"/>
      <c r="AB195" s="336"/>
      <c r="AC195" s="242">
        <f aca="true" t="shared" si="102" ref="AC195:AC222">AD195+AE195+AF195</f>
        <v>0</v>
      </c>
      <c r="AD195" s="336"/>
      <c r="AE195" s="336"/>
      <c r="AF195" s="336"/>
      <c r="AG195" s="240"/>
      <c r="AH195" s="240">
        <f aca="true" t="shared" si="103" ref="AH195:AH222">AI195+AL195</f>
        <v>0</v>
      </c>
      <c r="AI195" s="240">
        <f aca="true" t="shared" si="104" ref="AI195:AI222">SUM(AJ195:AK195)</f>
        <v>0</v>
      </c>
      <c r="AJ195" s="240">
        <f aca="true" t="shared" si="105" ref="AJ195:AJ212">W195-AF195-AG195</f>
        <v>0</v>
      </c>
      <c r="AK195" s="412"/>
      <c r="AL195" s="244"/>
      <c r="AM195" s="236">
        <f aca="true" t="shared" si="106" ref="AM195:AM222">AB195-AD195-AE195-AK195-AL195</f>
        <v>0</v>
      </c>
      <c r="AN195" s="225"/>
    </row>
    <row r="196" spans="1:40" s="414" customFormat="1" ht="19.5" customHeight="1">
      <c r="A196" s="230"/>
      <c r="B196" s="231" t="s">
        <v>1544</v>
      </c>
      <c r="C196" s="232" t="s">
        <v>1404</v>
      </c>
      <c r="D196" s="233" t="s">
        <v>1545</v>
      </c>
      <c r="E196" s="234"/>
      <c r="F196" s="235">
        <v>841000</v>
      </c>
      <c r="G196" s="236"/>
      <c r="H196" s="236"/>
      <c r="I196" s="237">
        <f>K196+M196</f>
        <v>3000</v>
      </c>
      <c r="J196" s="238"/>
      <c r="K196" s="237">
        <v>3000</v>
      </c>
      <c r="L196" s="237"/>
      <c r="M196" s="237"/>
      <c r="N196" s="239">
        <f aca="true" t="shared" si="107" ref="N196:N211">Q196+R196+S196</f>
        <v>2107.444</v>
      </c>
      <c r="O196" s="239"/>
      <c r="P196" s="239">
        <f>SUM(Q196:S196)</f>
        <v>2107.444</v>
      </c>
      <c r="Q196" s="239">
        <v>2107.444</v>
      </c>
      <c r="R196" s="239">
        <v>0</v>
      </c>
      <c r="S196" s="239">
        <v>0</v>
      </c>
      <c r="T196" s="301"/>
      <c r="U196" s="235"/>
      <c r="V196" s="240">
        <f>W196+X196</f>
        <v>0</v>
      </c>
      <c r="W196" s="240"/>
      <c r="X196" s="240"/>
      <c r="Y196" s="240">
        <v>3000000000</v>
      </c>
      <c r="Z196" s="302"/>
      <c r="AA196" s="302"/>
      <c r="AB196" s="241">
        <f>Y196+Z196-AA196+X196</f>
        <v>3000000000</v>
      </c>
      <c r="AC196" s="242">
        <f t="shared" si="102"/>
        <v>2107444000</v>
      </c>
      <c r="AD196" s="242">
        <v>2107444000</v>
      </c>
      <c r="AE196" s="302"/>
      <c r="AF196" s="302"/>
      <c r="AG196" s="240"/>
      <c r="AH196" s="240">
        <f t="shared" si="103"/>
        <v>892556000</v>
      </c>
      <c r="AI196" s="240">
        <f t="shared" si="104"/>
        <v>892556000</v>
      </c>
      <c r="AJ196" s="240">
        <f t="shared" si="105"/>
        <v>0</v>
      </c>
      <c r="AK196" s="341">
        <v>892556000</v>
      </c>
      <c r="AL196" s="244"/>
      <c r="AM196" s="236">
        <f t="shared" si="106"/>
        <v>0</v>
      </c>
      <c r="AN196" s="413"/>
    </row>
    <row r="197" spans="1:40" s="418" customFormat="1" ht="19.5" customHeight="1">
      <c r="A197" s="230"/>
      <c r="B197" s="415" t="s">
        <v>1546</v>
      </c>
      <c r="C197" s="334" t="s">
        <v>1547</v>
      </c>
      <c r="D197" s="401" t="s">
        <v>1548</v>
      </c>
      <c r="E197" s="416"/>
      <c r="F197" s="317">
        <v>123000</v>
      </c>
      <c r="G197" s="236">
        <v>115665</v>
      </c>
      <c r="H197" s="236">
        <v>113165</v>
      </c>
      <c r="I197" s="237">
        <f>K197+M197</f>
        <v>800</v>
      </c>
      <c r="J197" s="238"/>
      <c r="K197" s="237">
        <v>800</v>
      </c>
      <c r="L197" s="237"/>
      <c r="M197" s="237"/>
      <c r="N197" s="239">
        <f t="shared" si="107"/>
        <v>800</v>
      </c>
      <c r="O197" s="239"/>
      <c r="P197" s="239">
        <f>SUM(Q197:S197)</f>
        <v>800</v>
      </c>
      <c r="Q197" s="239">
        <v>800</v>
      </c>
      <c r="R197" s="239">
        <v>0</v>
      </c>
      <c r="S197" s="239">
        <v>0</v>
      </c>
      <c r="T197" s="301"/>
      <c r="U197" s="235"/>
      <c r="V197" s="240">
        <f>W197+X197</f>
        <v>0</v>
      </c>
      <c r="W197" s="240"/>
      <c r="X197" s="240"/>
      <c r="Y197" s="240">
        <v>800000000</v>
      </c>
      <c r="Z197" s="302"/>
      <c r="AA197" s="302"/>
      <c r="AB197" s="241">
        <f>Y197+Z197-AA197+X197</f>
        <v>800000000</v>
      </c>
      <c r="AC197" s="242">
        <f t="shared" si="102"/>
        <v>800000000</v>
      </c>
      <c r="AD197" s="240">
        <v>800000000</v>
      </c>
      <c r="AE197" s="302"/>
      <c r="AF197" s="302"/>
      <c r="AG197" s="240"/>
      <c r="AH197" s="240">
        <f t="shared" si="103"/>
        <v>0</v>
      </c>
      <c r="AI197" s="240">
        <f t="shared" si="104"/>
        <v>0</v>
      </c>
      <c r="AJ197" s="240">
        <f t="shared" si="105"/>
        <v>0</v>
      </c>
      <c r="AK197" s="302"/>
      <c r="AL197" s="244"/>
      <c r="AM197" s="236">
        <f t="shared" si="106"/>
        <v>0</v>
      </c>
      <c r="AN197" s="417"/>
    </row>
    <row r="198" spans="1:41" s="419" customFormat="1" ht="19.5" customHeight="1">
      <c r="A198" s="278"/>
      <c r="B198" s="287" t="s">
        <v>1329</v>
      </c>
      <c r="C198" s="288"/>
      <c r="D198" s="288"/>
      <c r="E198" s="289"/>
      <c r="F198" s="290"/>
      <c r="G198" s="291"/>
      <c r="H198" s="291"/>
      <c r="I198" s="282">
        <f>SUM(I199:I223)</f>
        <v>18060.96</v>
      </c>
      <c r="J198" s="282">
        <f aca="true" t="shared" si="108" ref="J198:U198">SUM(J199:J223)</f>
        <v>0</v>
      </c>
      <c r="K198" s="282">
        <f t="shared" si="108"/>
        <v>18060.96</v>
      </c>
      <c r="L198" s="282">
        <f t="shared" si="108"/>
        <v>0</v>
      </c>
      <c r="M198" s="282">
        <f t="shared" si="108"/>
        <v>0</v>
      </c>
      <c r="N198" s="282">
        <f t="shared" si="108"/>
        <v>21668.318281999997</v>
      </c>
      <c r="O198" s="282">
        <f t="shared" si="108"/>
        <v>0</v>
      </c>
      <c r="P198" s="282">
        <f t="shared" si="108"/>
        <v>21668.318281999997</v>
      </c>
      <c r="Q198" s="282">
        <f t="shared" si="108"/>
        <v>15401.588999999998</v>
      </c>
      <c r="R198" s="282">
        <f t="shared" si="108"/>
        <v>0</v>
      </c>
      <c r="S198" s="282">
        <f t="shared" si="108"/>
        <v>5267.829282000001</v>
      </c>
      <c r="T198" s="282">
        <f t="shared" si="108"/>
        <v>0</v>
      </c>
      <c r="U198" s="282">
        <f t="shared" si="108"/>
        <v>0</v>
      </c>
      <c r="V198" s="237">
        <f aca="true" t="shared" si="109" ref="V198:AO198">SUM(V199:V222)</f>
        <v>5293083797</v>
      </c>
      <c r="W198" s="237">
        <f t="shared" si="109"/>
        <v>5293083797</v>
      </c>
      <c r="X198" s="237">
        <f t="shared" si="109"/>
        <v>0</v>
      </c>
      <c r="Y198" s="237">
        <f t="shared" si="109"/>
        <v>14060960000</v>
      </c>
      <c r="Z198" s="237">
        <f t="shared" si="109"/>
        <v>1500000000</v>
      </c>
      <c r="AA198" s="237">
        <f t="shared" si="109"/>
        <v>359325000</v>
      </c>
      <c r="AB198" s="237">
        <f t="shared" si="109"/>
        <v>15201635000</v>
      </c>
      <c r="AC198" s="237">
        <f t="shared" si="109"/>
        <v>17669418282</v>
      </c>
      <c r="AD198" s="237">
        <f t="shared" si="109"/>
        <v>12401589000</v>
      </c>
      <c r="AE198" s="237">
        <f t="shared" si="109"/>
        <v>0</v>
      </c>
      <c r="AF198" s="237">
        <f t="shared" si="109"/>
        <v>5267829282</v>
      </c>
      <c r="AG198" s="237">
        <f t="shared" si="109"/>
        <v>25254515</v>
      </c>
      <c r="AH198" s="237">
        <f t="shared" si="109"/>
        <v>1300000000</v>
      </c>
      <c r="AI198" s="237">
        <f t="shared" si="109"/>
        <v>0</v>
      </c>
      <c r="AJ198" s="237">
        <f t="shared" si="109"/>
        <v>0</v>
      </c>
      <c r="AK198" s="237">
        <f t="shared" si="109"/>
        <v>0</v>
      </c>
      <c r="AL198" s="237">
        <f t="shared" si="109"/>
        <v>2800000000</v>
      </c>
      <c r="AM198" s="237">
        <f t="shared" si="109"/>
        <v>46000</v>
      </c>
      <c r="AN198" s="237">
        <f t="shared" si="109"/>
        <v>0</v>
      </c>
      <c r="AO198" s="237">
        <f t="shared" si="109"/>
        <v>0</v>
      </c>
    </row>
    <row r="199" spans="1:40" s="431" customFormat="1" ht="19.5" customHeight="1">
      <c r="A199" s="420"/>
      <c r="B199" s="421" t="s">
        <v>1549</v>
      </c>
      <c r="C199" s="422" t="s">
        <v>1493</v>
      </c>
      <c r="D199" s="423" t="s">
        <v>1362</v>
      </c>
      <c r="E199" s="424"/>
      <c r="F199" s="425">
        <v>22652</v>
      </c>
      <c r="G199" s="426">
        <v>8702</v>
      </c>
      <c r="H199" s="426">
        <v>5850</v>
      </c>
      <c r="I199" s="359">
        <f>K199+M199</f>
        <v>3000</v>
      </c>
      <c r="J199" s="360"/>
      <c r="K199" s="359">
        <v>3000</v>
      </c>
      <c r="L199" s="359"/>
      <c r="M199" s="359"/>
      <c r="N199" s="361">
        <f t="shared" si="107"/>
        <v>3000</v>
      </c>
      <c r="O199" s="361"/>
      <c r="P199" s="239">
        <f>SUM(Q199:S199)</f>
        <v>3000</v>
      </c>
      <c r="Q199" s="361">
        <v>3000</v>
      </c>
      <c r="R199" s="361">
        <v>0</v>
      </c>
      <c r="S199" s="361">
        <v>0</v>
      </c>
      <c r="T199" s="362"/>
      <c r="U199" s="363"/>
      <c r="V199" s="427"/>
      <c r="W199" s="427"/>
      <c r="X199" s="427"/>
      <c r="Y199" s="427"/>
      <c r="Z199" s="428"/>
      <c r="AA199" s="428"/>
      <c r="AB199" s="428"/>
      <c r="AC199" s="429"/>
      <c r="AD199" s="428"/>
      <c r="AE199" s="428"/>
      <c r="AF199" s="428"/>
      <c r="AG199" s="427"/>
      <c r="AH199" s="427"/>
      <c r="AI199" s="427"/>
      <c r="AJ199" s="427"/>
      <c r="AK199" s="428"/>
      <c r="AL199" s="426"/>
      <c r="AM199" s="358"/>
      <c r="AN199" s="430"/>
    </row>
    <row r="200" spans="1:40" s="327" customFormat="1" ht="19.5" customHeight="1">
      <c r="A200" s="252"/>
      <c r="B200" s="396" t="s">
        <v>1550</v>
      </c>
      <c r="C200" s="304" t="s">
        <v>1493</v>
      </c>
      <c r="D200" s="304">
        <v>2013</v>
      </c>
      <c r="E200" s="305"/>
      <c r="F200" s="306">
        <v>7800</v>
      </c>
      <c r="G200" s="244">
        <v>7800</v>
      </c>
      <c r="H200" s="244">
        <v>2350</v>
      </c>
      <c r="I200" s="237">
        <f aca="true" t="shared" si="110" ref="I200:I223">K200+M200</f>
        <v>1000</v>
      </c>
      <c r="J200" s="256"/>
      <c r="K200" s="237">
        <v>1000</v>
      </c>
      <c r="L200" s="237"/>
      <c r="M200" s="237"/>
      <c r="N200" s="239">
        <f t="shared" si="107"/>
        <v>1000</v>
      </c>
      <c r="O200" s="239"/>
      <c r="P200" s="239">
        <f aca="true" t="shared" si="111" ref="P200:P222">SUM(Q200:S200)</f>
        <v>1000</v>
      </c>
      <c r="Q200" s="239">
        <v>1000</v>
      </c>
      <c r="R200" s="239">
        <v>0</v>
      </c>
      <c r="S200" s="239">
        <v>0</v>
      </c>
      <c r="T200" s="257"/>
      <c r="U200" s="254"/>
      <c r="V200" s="240">
        <f aca="true" t="shared" si="112" ref="V200:V221">W200+X200</f>
        <v>0</v>
      </c>
      <c r="W200" s="240"/>
      <c r="X200" s="240"/>
      <c r="Y200" s="240">
        <v>1000000000</v>
      </c>
      <c r="Z200" s="258"/>
      <c r="AA200" s="258"/>
      <c r="AB200" s="241">
        <f aca="true" t="shared" si="113" ref="AB200:AB222">Y200+Z200-AA200+X200</f>
        <v>1000000000</v>
      </c>
      <c r="AC200" s="242">
        <f t="shared" si="102"/>
        <v>1000000000</v>
      </c>
      <c r="AD200" s="240">
        <v>1000000000</v>
      </c>
      <c r="AE200" s="258"/>
      <c r="AF200" s="258"/>
      <c r="AG200" s="240"/>
      <c r="AH200" s="240">
        <f t="shared" si="103"/>
        <v>0</v>
      </c>
      <c r="AI200" s="240">
        <f t="shared" si="104"/>
        <v>0</v>
      </c>
      <c r="AJ200" s="240">
        <f t="shared" si="105"/>
        <v>0</v>
      </c>
      <c r="AK200" s="258"/>
      <c r="AL200" s="244"/>
      <c r="AM200" s="236">
        <f t="shared" si="106"/>
        <v>0</v>
      </c>
      <c r="AN200" s="347"/>
    </row>
    <row r="201" spans="1:40" s="384" customFormat="1" ht="33.75" customHeight="1">
      <c r="A201" s="252"/>
      <c r="B201" s="432" t="s">
        <v>1551</v>
      </c>
      <c r="C201" s="264" t="s">
        <v>1341</v>
      </c>
      <c r="D201" s="433" t="s">
        <v>1520</v>
      </c>
      <c r="E201" s="434"/>
      <c r="F201" s="306">
        <v>11200</v>
      </c>
      <c r="G201" s="244">
        <v>7000</v>
      </c>
      <c r="H201" s="244">
        <v>1900</v>
      </c>
      <c r="I201" s="237">
        <f t="shared" si="110"/>
        <v>1800</v>
      </c>
      <c r="J201" s="256"/>
      <c r="K201" s="237">
        <v>1800</v>
      </c>
      <c r="L201" s="237"/>
      <c r="M201" s="237"/>
      <c r="N201" s="239">
        <f t="shared" si="107"/>
        <v>1800</v>
      </c>
      <c r="O201" s="239"/>
      <c r="P201" s="239">
        <f t="shared" si="111"/>
        <v>1800</v>
      </c>
      <c r="Q201" s="239">
        <v>1800</v>
      </c>
      <c r="R201" s="239">
        <v>0</v>
      </c>
      <c r="S201" s="239">
        <v>0</v>
      </c>
      <c r="T201" s="257"/>
      <c r="U201" s="254"/>
      <c r="V201" s="240">
        <f t="shared" si="112"/>
        <v>0</v>
      </c>
      <c r="W201" s="240"/>
      <c r="X201" s="240"/>
      <c r="Y201" s="240">
        <v>1800000000</v>
      </c>
      <c r="Z201" s="258"/>
      <c r="AA201" s="258"/>
      <c r="AB201" s="241">
        <f t="shared" si="113"/>
        <v>1800000000</v>
      </c>
      <c r="AC201" s="242">
        <f t="shared" si="102"/>
        <v>1800000000</v>
      </c>
      <c r="AD201" s="240">
        <v>1800000000</v>
      </c>
      <c r="AE201" s="258"/>
      <c r="AF201" s="258"/>
      <c r="AG201" s="240"/>
      <c r="AH201" s="240">
        <f t="shared" si="103"/>
        <v>0</v>
      </c>
      <c r="AI201" s="240">
        <f t="shared" si="104"/>
        <v>0</v>
      </c>
      <c r="AJ201" s="240">
        <f t="shared" si="105"/>
        <v>0</v>
      </c>
      <c r="AK201" s="258"/>
      <c r="AL201" s="244"/>
      <c r="AM201" s="236">
        <f t="shared" si="106"/>
        <v>0</v>
      </c>
      <c r="AN201" s="348"/>
    </row>
    <row r="202" spans="1:40" ht="19.5" customHeight="1">
      <c r="A202" s="230"/>
      <c r="B202" s="311" t="s">
        <v>1552</v>
      </c>
      <c r="C202" s="250" t="s">
        <v>1553</v>
      </c>
      <c r="D202" s="319" t="s">
        <v>1520</v>
      </c>
      <c r="E202" s="300"/>
      <c r="F202" s="235">
        <v>9753</v>
      </c>
      <c r="G202" s="236">
        <v>6000</v>
      </c>
      <c r="H202" s="236">
        <v>3000</v>
      </c>
      <c r="I202" s="237">
        <f t="shared" si="110"/>
        <v>1300</v>
      </c>
      <c r="J202" s="238"/>
      <c r="K202" s="237">
        <v>1300</v>
      </c>
      <c r="L202" s="237"/>
      <c r="M202" s="237"/>
      <c r="N202" s="239">
        <f t="shared" si="107"/>
        <v>1300</v>
      </c>
      <c r="O202" s="239"/>
      <c r="P202" s="239">
        <f t="shared" si="111"/>
        <v>1300</v>
      </c>
      <c r="Q202" s="239">
        <v>1300</v>
      </c>
      <c r="R202" s="239">
        <v>0</v>
      </c>
      <c r="S202" s="239">
        <v>0</v>
      </c>
      <c r="T202" s="301"/>
      <c r="U202" s="235"/>
      <c r="V202" s="240">
        <f t="shared" si="112"/>
        <v>0</v>
      </c>
      <c r="W202" s="240"/>
      <c r="X202" s="240"/>
      <c r="Y202" s="240">
        <v>1300000000</v>
      </c>
      <c r="Z202" s="302"/>
      <c r="AA202" s="302"/>
      <c r="AB202" s="241">
        <f t="shared" si="113"/>
        <v>1300000000</v>
      </c>
      <c r="AC202" s="242">
        <f t="shared" si="102"/>
        <v>1300000000</v>
      </c>
      <c r="AD202" s="240">
        <v>1300000000</v>
      </c>
      <c r="AE202" s="302"/>
      <c r="AF202" s="302"/>
      <c r="AG202" s="240"/>
      <c r="AH202" s="240">
        <f t="shared" si="103"/>
        <v>0</v>
      </c>
      <c r="AI202" s="240">
        <f t="shared" si="104"/>
        <v>0</v>
      </c>
      <c r="AJ202" s="240">
        <f t="shared" si="105"/>
        <v>0</v>
      </c>
      <c r="AK202" s="302"/>
      <c r="AL202" s="244"/>
      <c r="AM202" s="236">
        <f t="shared" si="106"/>
        <v>0</v>
      </c>
      <c r="AN202" s="349"/>
    </row>
    <row r="203" spans="1:40" ht="19.5" customHeight="1">
      <c r="A203" s="230"/>
      <c r="B203" s="311" t="s">
        <v>1554</v>
      </c>
      <c r="C203" s="250" t="s">
        <v>1341</v>
      </c>
      <c r="D203" s="319" t="s">
        <v>1520</v>
      </c>
      <c r="E203" s="300"/>
      <c r="F203" s="235">
        <v>8800</v>
      </c>
      <c r="G203" s="236">
        <v>8712</v>
      </c>
      <c r="H203" s="236">
        <v>4300</v>
      </c>
      <c r="I203" s="237">
        <f t="shared" si="110"/>
        <v>2000</v>
      </c>
      <c r="J203" s="238"/>
      <c r="K203" s="237">
        <v>2000</v>
      </c>
      <c r="L203" s="237"/>
      <c r="M203" s="237"/>
      <c r="N203" s="239">
        <f t="shared" si="107"/>
        <v>2000</v>
      </c>
      <c r="O203" s="239"/>
      <c r="P203" s="239">
        <f t="shared" si="111"/>
        <v>2000</v>
      </c>
      <c r="Q203" s="239">
        <v>2000</v>
      </c>
      <c r="R203" s="239">
        <v>0</v>
      </c>
      <c r="S203" s="239">
        <v>0</v>
      </c>
      <c r="T203" s="301"/>
      <c r="U203" s="235"/>
      <c r="V203" s="240">
        <f t="shared" si="112"/>
        <v>0</v>
      </c>
      <c r="W203" s="240"/>
      <c r="X203" s="240"/>
      <c r="Y203" s="240">
        <v>2000000000</v>
      </c>
      <c r="Z203" s="302"/>
      <c r="AA203" s="302"/>
      <c r="AB203" s="241">
        <f t="shared" si="113"/>
        <v>2000000000</v>
      </c>
      <c r="AC203" s="242">
        <f t="shared" si="102"/>
        <v>2000000000</v>
      </c>
      <c r="AD203" s="240">
        <v>2000000000</v>
      </c>
      <c r="AE203" s="302"/>
      <c r="AF203" s="302"/>
      <c r="AG203" s="240"/>
      <c r="AH203" s="240">
        <f t="shared" si="103"/>
        <v>0</v>
      </c>
      <c r="AI203" s="240">
        <f t="shared" si="104"/>
        <v>0</v>
      </c>
      <c r="AJ203" s="240">
        <f t="shared" si="105"/>
        <v>0</v>
      </c>
      <c r="AK203" s="302"/>
      <c r="AL203" s="244"/>
      <c r="AM203" s="236">
        <f t="shared" si="106"/>
        <v>0</v>
      </c>
      <c r="AN203" s="349"/>
    </row>
    <row r="204" spans="1:40" s="414" customFormat="1" ht="19.5" customHeight="1">
      <c r="A204" s="230"/>
      <c r="B204" s="231" t="s">
        <v>1555</v>
      </c>
      <c r="C204" s="232" t="s">
        <v>1493</v>
      </c>
      <c r="D204" s="233">
        <v>2010</v>
      </c>
      <c r="E204" s="234"/>
      <c r="F204" s="235">
        <v>14900</v>
      </c>
      <c r="G204" s="236">
        <v>14380</v>
      </c>
      <c r="H204" s="236">
        <v>12522</v>
      </c>
      <c r="I204" s="237">
        <f t="shared" si="110"/>
        <v>1800</v>
      </c>
      <c r="J204" s="238"/>
      <c r="K204" s="237">
        <v>1800</v>
      </c>
      <c r="L204" s="237"/>
      <c r="M204" s="237"/>
      <c r="N204" s="239">
        <f t="shared" si="107"/>
        <v>1494.095</v>
      </c>
      <c r="O204" s="239"/>
      <c r="P204" s="239">
        <f t="shared" si="111"/>
        <v>1494.095</v>
      </c>
      <c r="Q204" s="239">
        <v>1494.095</v>
      </c>
      <c r="R204" s="239">
        <v>0</v>
      </c>
      <c r="S204" s="239">
        <v>0</v>
      </c>
      <c r="T204" s="301"/>
      <c r="U204" s="235"/>
      <c r="V204" s="240">
        <f t="shared" si="112"/>
        <v>0</v>
      </c>
      <c r="W204" s="240"/>
      <c r="X204" s="240"/>
      <c r="Y204" s="240">
        <v>1800000000</v>
      </c>
      <c r="Z204" s="302"/>
      <c r="AA204" s="302">
        <v>305905000</v>
      </c>
      <c r="AB204" s="241">
        <f t="shared" si="113"/>
        <v>1494095000</v>
      </c>
      <c r="AC204" s="242">
        <f t="shared" si="102"/>
        <v>1494095000</v>
      </c>
      <c r="AD204" s="242">
        <v>1494095000</v>
      </c>
      <c r="AE204" s="302"/>
      <c r="AF204" s="302"/>
      <c r="AG204" s="240"/>
      <c r="AH204" s="240">
        <f t="shared" si="103"/>
        <v>0</v>
      </c>
      <c r="AI204" s="240">
        <f t="shared" si="104"/>
        <v>0</v>
      </c>
      <c r="AJ204" s="240">
        <f t="shared" si="105"/>
        <v>0</v>
      </c>
      <c r="AK204" s="302"/>
      <c r="AL204" s="244"/>
      <c r="AM204" s="236">
        <f t="shared" si="106"/>
        <v>0</v>
      </c>
      <c r="AN204" s="413"/>
    </row>
    <row r="205" spans="1:40" s="384" customFormat="1" ht="19.5" customHeight="1">
      <c r="A205" s="252"/>
      <c r="B205" s="311" t="s">
        <v>1556</v>
      </c>
      <c r="C205" s="250" t="s">
        <v>1050</v>
      </c>
      <c r="D205" s="319" t="s">
        <v>1389</v>
      </c>
      <c r="E205" s="300"/>
      <c r="F205" s="235">
        <v>2300</v>
      </c>
      <c r="G205" s="236"/>
      <c r="H205" s="236"/>
      <c r="I205" s="237">
        <f t="shared" si="110"/>
        <v>1300</v>
      </c>
      <c r="J205" s="256"/>
      <c r="K205" s="237">
        <v>1300</v>
      </c>
      <c r="L205" s="237"/>
      <c r="M205" s="237"/>
      <c r="N205" s="239">
        <f t="shared" si="107"/>
        <v>0</v>
      </c>
      <c r="O205" s="239"/>
      <c r="P205" s="239">
        <f t="shared" si="111"/>
        <v>0</v>
      </c>
      <c r="Q205" s="239">
        <v>0</v>
      </c>
      <c r="R205" s="239">
        <v>0</v>
      </c>
      <c r="S205" s="239">
        <v>0</v>
      </c>
      <c r="T205" s="257"/>
      <c r="U205" s="254"/>
      <c r="V205" s="240">
        <f t="shared" si="112"/>
        <v>0</v>
      </c>
      <c r="W205" s="240"/>
      <c r="X205" s="240"/>
      <c r="Y205" s="240">
        <v>1300000000</v>
      </c>
      <c r="Z205" s="258"/>
      <c r="AA205" s="258"/>
      <c r="AB205" s="241">
        <f t="shared" si="113"/>
        <v>1300000000</v>
      </c>
      <c r="AC205" s="242">
        <f t="shared" si="102"/>
        <v>0</v>
      </c>
      <c r="AD205" s="258"/>
      <c r="AE205" s="258"/>
      <c r="AF205" s="258"/>
      <c r="AG205" s="240"/>
      <c r="AH205" s="240">
        <f t="shared" si="103"/>
        <v>1300000000</v>
      </c>
      <c r="AI205" s="240">
        <f t="shared" si="104"/>
        <v>0</v>
      </c>
      <c r="AJ205" s="240">
        <f t="shared" si="105"/>
        <v>0</v>
      </c>
      <c r="AK205" s="258"/>
      <c r="AL205" s="244">
        <v>1300000000</v>
      </c>
      <c r="AM205" s="236">
        <f t="shared" si="106"/>
        <v>0</v>
      </c>
      <c r="AN205" s="348"/>
    </row>
    <row r="206" spans="1:40" s="384" customFormat="1" ht="19.5" customHeight="1">
      <c r="A206" s="252"/>
      <c r="B206" s="311" t="s">
        <v>1557</v>
      </c>
      <c r="C206" s="250" t="s">
        <v>1260</v>
      </c>
      <c r="D206" s="319" t="s">
        <v>1389</v>
      </c>
      <c r="E206" s="300"/>
      <c r="F206" s="235">
        <v>12000</v>
      </c>
      <c r="G206" s="236">
        <v>6338</v>
      </c>
      <c r="H206" s="236">
        <v>6338</v>
      </c>
      <c r="I206" s="237">
        <f t="shared" si="110"/>
        <v>1570</v>
      </c>
      <c r="J206" s="256"/>
      <c r="K206" s="237">
        <v>1570</v>
      </c>
      <c r="L206" s="237"/>
      <c r="M206" s="237"/>
      <c r="N206" s="239">
        <f t="shared" si="107"/>
        <v>1526.836</v>
      </c>
      <c r="O206" s="239"/>
      <c r="P206" s="239">
        <f t="shared" si="111"/>
        <v>1526.836</v>
      </c>
      <c r="Q206" s="239">
        <v>1526.836</v>
      </c>
      <c r="R206" s="239">
        <v>0</v>
      </c>
      <c r="S206" s="239">
        <v>0</v>
      </c>
      <c r="T206" s="257"/>
      <c r="U206" s="254"/>
      <c r="V206" s="240">
        <f t="shared" si="112"/>
        <v>0</v>
      </c>
      <c r="W206" s="240"/>
      <c r="X206" s="240"/>
      <c r="Y206" s="240">
        <v>1570000000</v>
      </c>
      <c r="Z206" s="258"/>
      <c r="AA206" s="258">
        <v>43164000</v>
      </c>
      <c r="AB206" s="241">
        <f t="shared" si="113"/>
        <v>1526836000</v>
      </c>
      <c r="AC206" s="242">
        <f t="shared" si="102"/>
        <v>1526836000</v>
      </c>
      <c r="AD206" s="242">
        <v>1526836000</v>
      </c>
      <c r="AE206" s="258"/>
      <c r="AF206" s="258"/>
      <c r="AG206" s="240"/>
      <c r="AH206" s="240">
        <f t="shared" si="103"/>
        <v>0</v>
      </c>
      <c r="AI206" s="240">
        <f t="shared" si="104"/>
        <v>0</v>
      </c>
      <c r="AJ206" s="240">
        <f t="shared" si="105"/>
        <v>0</v>
      </c>
      <c r="AK206" s="258"/>
      <c r="AL206" s="244"/>
      <c r="AM206" s="236">
        <f t="shared" si="106"/>
        <v>0</v>
      </c>
      <c r="AN206" s="348"/>
    </row>
    <row r="207" spans="1:40" s="328" customFormat="1" ht="19.5" customHeight="1">
      <c r="A207" s="252"/>
      <c r="B207" s="435" t="s">
        <v>1558</v>
      </c>
      <c r="C207" s="232" t="s">
        <v>1368</v>
      </c>
      <c r="D207" s="233" t="s">
        <v>1369</v>
      </c>
      <c r="E207" s="436" t="s">
        <v>1559</v>
      </c>
      <c r="F207" s="235">
        <v>23890</v>
      </c>
      <c r="G207" s="236">
        <v>10631</v>
      </c>
      <c r="H207" s="236">
        <v>6437</v>
      </c>
      <c r="I207" s="237">
        <f t="shared" si="110"/>
        <v>2000</v>
      </c>
      <c r="J207" s="256"/>
      <c r="K207" s="237">
        <v>2000</v>
      </c>
      <c r="L207" s="237"/>
      <c r="M207" s="237"/>
      <c r="N207" s="239">
        <f t="shared" si="107"/>
        <v>2000</v>
      </c>
      <c r="O207" s="239"/>
      <c r="P207" s="239">
        <f t="shared" si="111"/>
        <v>2000</v>
      </c>
      <c r="Q207" s="239">
        <v>2000</v>
      </c>
      <c r="R207" s="239">
        <v>0</v>
      </c>
      <c r="S207" s="239">
        <v>0</v>
      </c>
      <c r="T207" s="257"/>
      <c r="U207" s="254"/>
      <c r="V207" s="240">
        <f t="shared" si="112"/>
        <v>0</v>
      </c>
      <c r="W207" s="240"/>
      <c r="X207" s="240"/>
      <c r="Y207" s="240">
        <v>2000000000</v>
      </c>
      <c r="Z207" s="258"/>
      <c r="AA207" s="258"/>
      <c r="AB207" s="241">
        <f t="shared" si="113"/>
        <v>2000000000</v>
      </c>
      <c r="AC207" s="242">
        <f t="shared" si="102"/>
        <v>2000000000</v>
      </c>
      <c r="AD207" s="240">
        <v>2000000000</v>
      </c>
      <c r="AE207" s="258"/>
      <c r="AF207" s="258"/>
      <c r="AG207" s="240"/>
      <c r="AH207" s="240">
        <f t="shared" si="103"/>
        <v>0</v>
      </c>
      <c r="AI207" s="240">
        <f t="shared" si="104"/>
        <v>0</v>
      </c>
      <c r="AJ207" s="240">
        <f t="shared" si="105"/>
        <v>0</v>
      </c>
      <c r="AK207" s="258"/>
      <c r="AL207" s="244"/>
      <c r="AM207" s="236">
        <f t="shared" si="106"/>
        <v>0</v>
      </c>
      <c r="AN207" s="348"/>
    </row>
    <row r="208" spans="1:39" ht="30" customHeight="1">
      <c r="A208" s="230"/>
      <c r="B208" s="311" t="s">
        <v>1560</v>
      </c>
      <c r="C208" s="250" t="s">
        <v>1561</v>
      </c>
      <c r="D208" s="319" t="s">
        <v>1369</v>
      </c>
      <c r="E208" s="300" t="s">
        <v>1562</v>
      </c>
      <c r="F208" s="235">
        <v>20700</v>
      </c>
      <c r="G208" s="236">
        <v>19127</v>
      </c>
      <c r="H208" s="236">
        <v>18580</v>
      </c>
      <c r="I208" s="237">
        <f t="shared" si="110"/>
        <v>548</v>
      </c>
      <c r="J208" s="238"/>
      <c r="K208" s="237">
        <v>548</v>
      </c>
      <c r="L208" s="237"/>
      <c r="M208" s="237"/>
      <c r="N208" s="239">
        <f t="shared" si="107"/>
        <v>547.682</v>
      </c>
      <c r="O208" s="239"/>
      <c r="P208" s="239">
        <f t="shared" si="111"/>
        <v>547.682</v>
      </c>
      <c r="Q208" s="239">
        <v>547.682</v>
      </c>
      <c r="R208" s="239">
        <v>0</v>
      </c>
      <c r="S208" s="239">
        <v>0</v>
      </c>
      <c r="T208" s="301"/>
      <c r="U208" s="235"/>
      <c r="V208" s="240">
        <f t="shared" si="112"/>
        <v>0</v>
      </c>
      <c r="W208" s="240"/>
      <c r="X208" s="240"/>
      <c r="Y208" s="240">
        <v>548000000</v>
      </c>
      <c r="Z208" s="302"/>
      <c r="AA208" s="302">
        <v>318000</v>
      </c>
      <c r="AB208" s="241">
        <f t="shared" si="113"/>
        <v>547682000</v>
      </c>
      <c r="AC208" s="242">
        <f t="shared" si="102"/>
        <v>547682000</v>
      </c>
      <c r="AD208" s="242">
        <v>547682000</v>
      </c>
      <c r="AE208" s="302"/>
      <c r="AF208" s="302"/>
      <c r="AG208" s="240"/>
      <c r="AH208" s="240">
        <f t="shared" si="103"/>
        <v>0</v>
      </c>
      <c r="AI208" s="240">
        <f t="shared" si="104"/>
        <v>0</v>
      </c>
      <c r="AJ208" s="240">
        <f t="shared" si="105"/>
        <v>0</v>
      </c>
      <c r="AK208" s="302"/>
      <c r="AL208" s="244"/>
      <c r="AM208" s="236">
        <f t="shared" si="106"/>
        <v>0</v>
      </c>
    </row>
    <row r="209" spans="1:39" ht="19.5" customHeight="1">
      <c r="A209" s="230"/>
      <c r="B209" s="311" t="s">
        <v>1563</v>
      </c>
      <c r="C209" s="250" t="s">
        <v>1260</v>
      </c>
      <c r="D209" s="250"/>
      <c r="E209" s="300"/>
      <c r="F209" s="235"/>
      <c r="G209" s="236"/>
      <c r="H209" s="236"/>
      <c r="I209" s="237">
        <f t="shared" si="110"/>
        <v>465</v>
      </c>
      <c r="J209" s="238"/>
      <c r="K209" s="237">
        <v>465</v>
      </c>
      <c r="L209" s="237"/>
      <c r="M209" s="237"/>
      <c r="N209" s="239">
        <f t="shared" si="107"/>
        <v>464.062</v>
      </c>
      <c r="O209" s="239"/>
      <c r="P209" s="239">
        <f t="shared" si="111"/>
        <v>464.062</v>
      </c>
      <c r="Q209" s="239">
        <v>464.062</v>
      </c>
      <c r="R209" s="239">
        <v>0</v>
      </c>
      <c r="S209" s="239">
        <v>0</v>
      </c>
      <c r="T209" s="301"/>
      <c r="U209" s="235"/>
      <c r="V209" s="240">
        <f t="shared" si="112"/>
        <v>0</v>
      </c>
      <c r="W209" s="240"/>
      <c r="X209" s="240"/>
      <c r="Y209" s="240">
        <v>465000000</v>
      </c>
      <c r="Z209" s="302"/>
      <c r="AA209" s="302">
        <v>938000</v>
      </c>
      <c r="AB209" s="241">
        <f t="shared" si="113"/>
        <v>464062000</v>
      </c>
      <c r="AC209" s="242">
        <f t="shared" si="102"/>
        <v>464062000</v>
      </c>
      <c r="AD209" s="242">
        <v>464062000</v>
      </c>
      <c r="AE209" s="302"/>
      <c r="AF209" s="302"/>
      <c r="AG209" s="240"/>
      <c r="AH209" s="240">
        <f t="shared" si="103"/>
        <v>0</v>
      </c>
      <c r="AI209" s="240">
        <f t="shared" si="104"/>
        <v>0</v>
      </c>
      <c r="AJ209" s="240">
        <f t="shared" si="105"/>
        <v>0</v>
      </c>
      <c r="AK209" s="302"/>
      <c r="AL209" s="244"/>
      <c r="AM209" s="236">
        <f t="shared" si="106"/>
        <v>0</v>
      </c>
    </row>
    <row r="210" spans="1:40" ht="19.5" customHeight="1">
      <c r="A210" s="230"/>
      <c r="B210" s="311" t="s">
        <v>1564</v>
      </c>
      <c r="C210" s="250"/>
      <c r="D210" s="250"/>
      <c r="E210" s="300"/>
      <c r="F210" s="235"/>
      <c r="G210" s="236"/>
      <c r="H210" s="236"/>
      <c r="I210" s="237">
        <f t="shared" si="110"/>
        <v>15.2</v>
      </c>
      <c r="J210" s="238"/>
      <c r="K210" s="237">
        <v>15.2</v>
      </c>
      <c r="L210" s="237"/>
      <c r="M210" s="237"/>
      <c r="N210" s="239">
        <f t="shared" si="107"/>
        <v>15.194</v>
      </c>
      <c r="O210" s="239"/>
      <c r="P210" s="239">
        <f t="shared" si="111"/>
        <v>15.194</v>
      </c>
      <c r="Q210" s="239">
        <v>15.194</v>
      </c>
      <c r="R210" s="239">
        <v>0</v>
      </c>
      <c r="S210" s="239">
        <v>0</v>
      </c>
      <c r="T210" s="301"/>
      <c r="U210" s="235"/>
      <c r="V210" s="240">
        <f t="shared" si="112"/>
        <v>0</v>
      </c>
      <c r="W210" s="240"/>
      <c r="X210" s="240"/>
      <c r="Y210" s="240">
        <v>15200000</v>
      </c>
      <c r="Z210" s="302"/>
      <c r="AA210" s="302"/>
      <c r="AB210" s="241">
        <f t="shared" si="113"/>
        <v>15200000</v>
      </c>
      <c r="AC210" s="242">
        <f t="shared" si="102"/>
        <v>15194000</v>
      </c>
      <c r="AD210" s="312">
        <v>15194000</v>
      </c>
      <c r="AE210" s="302"/>
      <c r="AF210" s="302"/>
      <c r="AG210" s="240"/>
      <c r="AH210" s="240">
        <f t="shared" si="103"/>
        <v>0</v>
      </c>
      <c r="AI210" s="240">
        <f t="shared" si="104"/>
        <v>0</v>
      </c>
      <c r="AJ210" s="240">
        <f t="shared" si="105"/>
        <v>0</v>
      </c>
      <c r="AK210" s="302"/>
      <c r="AL210" s="244"/>
      <c r="AM210" s="236">
        <f t="shared" si="106"/>
        <v>6000</v>
      </c>
      <c r="AN210" s="313" t="s">
        <v>1347</v>
      </c>
    </row>
    <row r="211" spans="1:40" ht="19.5" customHeight="1">
      <c r="A211" s="230"/>
      <c r="B211" s="311" t="s">
        <v>1565</v>
      </c>
      <c r="C211" s="250"/>
      <c r="D211" s="250"/>
      <c r="E211" s="300"/>
      <c r="F211" s="235"/>
      <c r="G211" s="236"/>
      <c r="H211" s="236"/>
      <c r="I211" s="237">
        <f t="shared" si="110"/>
        <v>4.76</v>
      </c>
      <c r="J211" s="238"/>
      <c r="K211" s="237">
        <v>4.76</v>
      </c>
      <c r="L211" s="237"/>
      <c r="M211" s="237"/>
      <c r="N211" s="239">
        <f t="shared" si="107"/>
        <v>4.759</v>
      </c>
      <c r="O211" s="239"/>
      <c r="P211" s="239">
        <f t="shared" si="111"/>
        <v>4.759</v>
      </c>
      <c r="Q211" s="239">
        <v>4.759</v>
      </c>
      <c r="R211" s="239">
        <v>0</v>
      </c>
      <c r="S211" s="239">
        <v>0</v>
      </c>
      <c r="T211" s="301"/>
      <c r="U211" s="235"/>
      <c r="V211" s="240">
        <f t="shared" si="112"/>
        <v>0</v>
      </c>
      <c r="W211" s="240"/>
      <c r="X211" s="240"/>
      <c r="Y211" s="240">
        <v>4760000</v>
      </c>
      <c r="Z211" s="302"/>
      <c r="AA211" s="302"/>
      <c r="AB211" s="241">
        <f t="shared" si="113"/>
        <v>4760000</v>
      </c>
      <c r="AC211" s="242">
        <f t="shared" si="102"/>
        <v>4759000</v>
      </c>
      <c r="AD211" s="312">
        <v>4759000</v>
      </c>
      <c r="AE211" s="302"/>
      <c r="AF211" s="302"/>
      <c r="AG211" s="240"/>
      <c r="AH211" s="240">
        <f t="shared" si="103"/>
        <v>0</v>
      </c>
      <c r="AI211" s="240">
        <f t="shared" si="104"/>
        <v>0</v>
      </c>
      <c r="AJ211" s="240">
        <f t="shared" si="105"/>
        <v>0</v>
      </c>
      <c r="AK211" s="302"/>
      <c r="AL211" s="244"/>
      <c r="AM211" s="236">
        <f t="shared" si="106"/>
        <v>1000</v>
      </c>
      <c r="AN211" s="313" t="s">
        <v>1347</v>
      </c>
    </row>
    <row r="212" spans="1:40" ht="19.5" customHeight="1">
      <c r="A212" s="230"/>
      <c r="B212" s="311" t="s">
        <v>1566</v>
      </c>
      <c r="C212" s="250"/>
      <c r="D212" s="250"/>
      <c r="E212" s="300"/>
      <c r="F212" s="235"/>
      <c r="G212" s="236"/>
      <c r="H212" s="236"/>
      <c r="I212" s="237">
        <f t="shared" si="110"/>
        <v>9</v>
      </c>
      <c r="J212" s="238"/>
      <c r="K212" s="237">
        <v>9</v>
      </c>
      <c r="L212" s="237"/>
      <c r="M212" s="237"/>
      <c r="N212" s="239"/>
      <c r="O212" s="239"/>
      <c r="P212" s="239"/>
      <c r="Q212" s="239"/>
      <c r="R212" s="239">
        <v>0</v>
      </c>
      <c r="S212" s="239">
        <v>0</v>
      </c>
      <c r="T212" s="301"/>
      <c r="U212" s="235"/>
      <c r="V212" s="240">
        <f t="shared" si="112"/>
        <v>0</v>
      </c>
      <c r="W212" s="240"/>
      <c r="X212" s="240"/>
      <c r="Y212" s="240">
        <v>9000000</v>
      </c>
      <c r="Z212" s="302"/>
      <c r="AA212" s="302">
        <v>9000000</v>
      </c>
      <c r="AB212" s="241">
        <f t="shared" si="113"/>
        <v>0</v>
      </c>
      <c r="AC212" s="242">
        <f t="shared" si="102"/>
        <v>0</v>
      </c>
      <c r="AD212" s="312"/>
      <c r="AE212" s="302"/>
      <c r="AF212" s="302"/>
      <c r="AG212" s="240"/>
      <c r="AH212" s="240">
        <f t="shared" si="103"/>
        <v>0</v>
      </c>
      <c r="AI212" s="240">
        <f t="shared" si="104"/>
        <v>0</v>
      </c>
      <c r="AJ212" s="240">
        <f t="shared" si="105"/>
        <v>0</v>
      </c>
      <c r="AK212" s="302"/>
      <c r="AL212" s="244"/>
      <c r="AM212" s="236">
        <f t="shared" si="106"/>
        <v>0</v>
      </c>
      <c r="AN212" s="313"/>
    </row>
    <row r="213" spans="1:40" ht="29.25" customHeight="1">
      <c r="A213" s="230"/>
      <c r="B213" s="311" t="s">
        <v>1567</v>
      </c>
      <c r="C213" s="250"/>
      <c r="D213" s="250"/>
      <c r="E213" s="300"/>
      <c r="F213" s="235"/>
      <c r="G213" s="236"/>
      <c r="H213" s="236"/>
      <c r="I213" s="237"/>
      <c r="J213" s="238"/>
      <c r="K213" s="237"/>
      <c r="L213" s="237"/>
      <c r="M213" s="237"/>
      <c r="N213" s="239"/>
      <c r="O213" s="239"/>
      <c r="P213" s="239"/>
      <c r="Q213" s="239"/>
      <c r="R213" s="239">
        <v>0</v>
      </c>
      <c r="S213" s="239">
        <v>0</v>
      </c>
      <c r="T213" s="301"/>
      <c r="U213" s="235"/>
      <c r="V213" s="240"/>
      <c r="W213" s="240"/>
      <c r="X213" s="240"/>
      <c r="Y213" s="240"/>
      <c r="Z213" s="302">
        <v>1500000000</v>
      </c>
      <c r="AA213" s="302"/>
      <c r="AB213" s="241">
        <f t="shared" si="113"/>
        <v>1500000000</v>
      </c>
      <c r="AC213" s="242"/>
      <c r="AD213" s="312"/>
      <c r="AE213" s="302"/>
      <c r="AF213" s="302"/>
      <c r="AG213" s="240"/>
      <c r="AH213" s="240"/>
      <c r="AI213" s="240"/>
      <c r="AJ213" s="240"/>
      <c r="AK213" s="302"/>
      <c r="AL213" s="244">
        <v>1500000000</v>
      </c>
      <c r="AM213" s="236">
        <f t="shared" si="106"/>
        <v>0</v>
      </c>
      <c r="AN213" s="313"/>
    </row>
    <row r="214" spans="1:40" ht="19.5" customHeight="1">
      <c r="A214" s="230"/>
      <c r="B214" s="311" t="s">
        <v>1568</v>
      </c>
      <c r="C214" s="250"/>
      <c r="D214" s="250"/>
      <c r="E214" s="300"/>
      <c r="F214" s="235"/>
      <c r="G214" s="236"/>
      <c r="H214" s="236"/>
      <c r="I214" s="237"/>
      <c r="J214" s="238"/>
      <c r="K214" s="237"/>
      <c r="L214" s="237"/>
      <c r="M214" s="237"/>
      <c r="N214" s="239">
        <f aca="true" t="shared" si="114" ref="N214:N222">Q214+R214+S214</f>
        <v>3343.881358</v>
      </c>
      <c r="O214" s="239"/>
      <c r="P214" s="239">
        <f t="shared" si="111"/>
        <v>3343.881358</v>
      </c>
      <c r="Q214" s="239"/>
      <c r="R214" s="239">
        <v>0</v>
      </c>
      <c r="S214" s="239">
        <v>3343.881358</v>
      </c>
      <c r="T214" s="301"/>
      <c r="U214" s="235"/>
      <c r="V214" s="240">
        <f t="shared" si="112"/>
        <v>3343881358</v>
      </c>
      <c r="W214" s="240">
        <v>3343881358</v>
      </c>
      <c r="X214" s="240"/>
      <c r="Y214" s="240"/>
      <c r="Z214" s="302"/>
      <c r="AA214" s="302"/>
      <c r="AB214" s="241">
        <f t="shared" si="113"/>
        <v>0</v>
      </c>
      <c r="AC214" s="242">
        <f t="shared" si="102"/>
        <v>3343881358</v>
      </c>
      <c r="AD214" s="312"/>
      <c r="AE214" s="302"/>
      <c r="AF214" s="302">
        <v>3343881358</v>
      </c>
      <c r="AG214" s="240"/>
      <c r="AH214" s="240">
        <f t="shared" si="103"/>
        <v>0</v>
      </c>
      <c r="AI214" s="240">
        <f t="shared" si="104"/>
        <v>0</v>
      </c>
      <c r="AJ214" s="240">
        <f aca="true" t="shared" si="115" ref="AJ214:AJ222">W214-AF214-AG214</f>
        <v>0</v>
      </c>
      <c r="AK214" s="302"/>
      <c r="AL214" s="244"/>
      <c r="AM214" s="236">
        <f t="shared" si="106"/>
        <v>0</v>
      </c>
      <c r="AN214" s="313"/>
    </row>
    <row r="215" spans="1:40" ht="19.5" customHeight="1">
      <c r="A215" s="230"/>
      <c r="B215" s="311" t="s">
        <v>1569</v>
      </c>
      <c r="C215" s="250" t="s">
        <v>1052</v>
      </c>
      <c r="D215" s="250"/>
      <c r="E215" s="300"/>
      <c r="F215" s="235"/>
      <c r="G215" s="236"/>
      <c r="H215" s="236"/>
      <c r="I215" s="237"/>
      <c r="J215" s="238"/>
      <c r="K215" s="237"/>
      <c r="L215" s="237"/>
      <c r="M215" s="237"/>
      <c r="N215" s="239">
        <f t="shared" si="114"/>
        <v>937.637</v>
      </c>
      <c r="O215" s="239"/>
      <c r="P215" s="239">
        <f t="shared" si="111"/>
        <v>937.637</v>
      </c>
      <c r="Q215" s="239"/>
      <c r="R215" s="239">
        <v>0</v>
      </c>
      <c r="S215" s="239">
        <v>937.637</v>
      </c>
      <c r="T215" s="301"/>
      <c r="U215" s="235"/>
      <c r="V215" s="240">
        <f t="shared" si="112"/>
        <v>937637000</v>
      </c>
      <c r="W215" s="240">
        <v>937637000</v>
      </c>
      <c r="X215" s="240"/>
      <c r="Y215" s="240"/>
      <c r="Z215" s="302"/>
      <c r="AA215" s="302"/>
      <c r="AB215" s="241">
        <f t="shared" si="113"/>
        <v>0</v>
      </c>
      <c r="AC215" s="242">
        <f t="shared" si="102"/>
        <v>937637000</v>
      </c>
      <c r="AD215" s="312"/>
      <c r="AE215" s="302"/>
      <c r="AF215" s="302">
        <v>937637000</v>
      </c>
      <c r="AG215" s="240"/>
      <c r="AH215" s="240">
        <f t="shared" si="103"/>
        <v>0</v>
      </c>
      <c r="AI215" s="240">
        <f t="shared" si="104"/>
        <v>0</v>
      </c>
      <c r="AJ215" s="240">
        <f t="shared" si="115"/>
        <v>0</v>
      </c>
      <c r="AK215" s="302"/>
      <c r="AL215" s="244"/>
      <c r="AM215" s="236">
        <f t="shared" si="106"/>
        <v>0</v>
      </c>
      <c r="AN215" s="313"/>
    </row>
    <row r="216" spans="1:40" ht="19.5" customHeight="1">
      <c r="A216" s="230"/>
      <c r="B216" s="311" t="s">
        <v>1570</v>
      </c>
      <c r="C216" s="250" t="s">
        <v>1571</v>
      </c>
      <c r="D216" s="250"/>
      <c r="E216" s="300"/>
      <c r="F216" s="235"/>
      <c r="G216" s="236"/>
      <c r="H216" s="236"/>
      <c r="I216" s="237"/>
      <c r="J216" s="238"/>
      <c r="K216" s="237"/>
      <c r="L216" s="237"/>
      <c r="M216" s="237"/>
      <c r="N216" s="239">
        <f t="shared" si="114"/>
        <v>201.05</v>
      </c>
      <c r="O216" s="239"/>
      <c r="P216" s="239">
        <f t="shared" si="111"/>
        <v>201.05</v>
      </c>
      <c r="Q216" s="239"/>
      <c r="R216" s="239">
        <v>0</v>
      </c>
      <c r="S216" s="239">
        <v>201.05</v>
      </c>
      <c r="T216" s="301"/>
      <c r="U216" s="235"/>
      <c r="V216" s="240">
        <f t="shared" si="112"/>
        <v>201350000</v>
      </c>
      <c r="W216" s="240">
        <v>201350000</v>
      </c>
      <c r="X216" s="240"/>
      <c r="Y216" s="240"/>
      <c r="Z216" s="302"/>
      <c r="AA216" s="302"/>
      <c r="AB216" s="241">
        <f t="shared" si="113"/>
        <v>0</v>
      </c>
      <c r="AC216" s="242">
        <f t="shared" si="102"/>
        <v>201050000</v>
      </c>
      <c r="AD216" s="312"/>
      <c r="AE216" s="302"/>
      <c r="AF216" s="302">
        <v>201050000</v>
      </c>
      <c r="AG216" s="240">
        <v>300000</v>
      </c>
      <c r="AH216" s="240">
        <f t="shared" si="103"/>
        <v>0</v>
      </c>
      <c r="AI216" s="240">
        <f t="shared" si="104"/>
        <v>0</v>
      </c>
      <c r="AJ216" s="240">
        <f t="shared" si="115"/>
        <v>0</v>
      </c>
      <c r="AK216" s="302"/>
      <c r="AL216" s="244"/>
      <c r="AM216" s="236">
        <f t="shared" si="106"/>
        <v>0</v>
      </c>
      <c r="AN216" s="313"/>
    </row>
    <row r="217" spans="1:40" ht="19.5" customHeight="1">
      <c r="A217" s="230"/>
      <c r="B217" s="311" t="s">
        <v>1572</v>
      </c>
      <c r="C217" s="250" t="s">
        <v>1571</v>
      </c>
      <c r="D217" s="250"/>
      <c r="E217" s="300"/>
      <c r="F217" s="235"/>
      <c r="G217" s="236"/>
      <c r="H217" s="236"/>
      <c r="I217" s="237"/>
      <c r="J217" s="238"/>
      <c r="K217" s="237"/>
      <c r="L217" s="237"/>
      <c r="M217" s="237"/>
      <c r="N217" s="239">
        <f t="shared" si="114"/>
        <v>202.02</v>
      </c>
      <c r="O217" s="239"/>
      <c r="P217" s="239">
        <f t="shared" si="111"/>
        <v>202.02</v>
      </c>
      <c r="Q217" s="239"/>
      <c r="R217" s="239">
        <v>0</v>
      </c>
      <c r="S217" s="239">
        <v>202.02</v>
      </c>
      <c r="T217" s="301"/>
      <c r="U217" s="235"/>
      <c r="V217" s="240">
        <f t="shared" si="112"/>
        <v>202320000</v>
      </c>
      <c r="W217" s="240">
        <v>202320000</v>
      </c>
      <c r="X217" s="240"/>
      <c r="Y217" s="240"/>
      <c r="Z217" s="302"/>
      <c r="AA217" s="302"/>
      <c r="AB217" s="241">
        <f t="shared" si="113"/>
        <v>0</v>
      </c>
      <c r="AC217" s="242">
        <f t="shared" si="102"/>
        <v>202020000</v>
      </c>
      <c r="AD217" s="312"/>
      <c r="AE217" s="302"/>
      <c r="AF217" s="302">
        <v>202020000</v>
      </c>
      <c r="AG217" s="240">
        <v>300000</v>
      </c>
      <c r="AH217" s="240">
        <f t="shared" si="103"/>
        <v>0</v>
      </c>
      <c r="AI217" s="240">
        <f t="shared" si="104"/>
        <v>0</v>
      </c>
      <c r="AJ217" s="240">
        <f t="shared" si="115"/>
        <v>0</v>
      </c>
      <c r="AK217" s="302"/>
      <c r="AL217" s="244"/>
      <c r="AM217" s="236">
        <f t="shared" si="106"/>
        <v>0</v>
      </c>
      <c r="AN217" s="313"/>
    </row>
    <row r="218" spans="1:40" ht="19.5" customHeight="1">
      <c r="A218" s="230"/>
      <c r="B218" s="311" t="s">
        <v>1573</v>
      </c>
      <c r="C218" s="250"/>
      <c r="D218" s="250"/>
      <c r="E218" s="300"/>
      <c r="F218" s="235"/>
      <c r="G218" s="236"/>
      <c r="H218" s="236"/>
      <c r="I218" s="237"/>
      <c r="J218" s="238"/>
      <c r="K218" s="237"/>
      <c r="L218" s="237"/>
      <c r="M218" s="237"/>
      <c r="N218" s="239">
        <f t="shared" si="114"/>
        <v>48.1283</v>
      </c>
      <c r="O218" s="239"/>
      <c r="P218" s="239">
        <f t="shared" si="111"/>
        <v>48.1283</v>
      </c>
      <c r="Q218" s="239"/>
      <c r="R218" s="239">
        <v>0</v>
      </c>
      <c r="S218" s="239">
        <v>48.1283</v>
      </c>
      <c r="T218" s="301"/>
      <c r="U218" s="235"/>
      <c r="V218" s="240">
        <f t="shared" si="112"/>
        <v>48128300</v>
      </c>
      <c r="W218" s="240">
        <v>48128300</v>
      </c>
      <c r="X218" s="240"/>
      <c r="Y218" s="240"/>
      <c r="Z218" s="302"/>
      <c r="AA218" s="302"/>
      <c r="AB218" s="241">
        <f t="shared" si="113"/>
        <v>0</v>
      </c>
      <c r="AC218" s="242">
        <f t="shared" si="102"/>
        <v>48128300</v>
      </c>
      <c r="AD218" s="312"/>
      <c r="AE218" s="302"/>
      <c r="AF218" s="302">
        <v>48128300</v>
      </c>
      <c r="AG218" s="240"/>
      <c r="AH218" s="240">
        <f t="shared" si="103"/>
        <v>0</v>
      </c>
      <c r="AI218" s="240">
        <f t="shared" si="104"/>
        <v>0</v>
      </c>
      <c r="AJ218" s="240">
        <f t="shared" si="115"/>
        <v>0</v>
      </c>
      <c r="AK218" s="302"/>
      <c r="AL218" s="244"/>
      <c r="AM218" s="236">
        <f t="shared" si="106"/>
        <v>0</v>
      </c>
      <c r="AN218" s="313"/>
    </row>
    <row r="219" spans="1:40" ht="19.5" customHeight="1">
      <c r="A219" s="230"/>
      <c r="B219" s="311" t="s">
        <v>1574</v>
      </c>
      <c r="C219" s="250"/>
      <c r="D219" s="250"/>
      <c r="E219" s="300"/>
      <c r="F219" s="235"/>
      <c r="G219" s="236"/>
      <c r="H219" s="236"/>
      <c r="I219" s="237"/>
      <c r="J219" s="238"/>
      <c r="K219" s="237"/>
      <c r="L219" s="237"/>
      <c r="M219" s="237"/>
      <c r="N219" s="239">
        <f t="shared" si="114"/>
        <v>176.459</v>
      </c>
      <c r="O219" s="239"/>
      <c r="P219" s="239">
        <f t="shared" si="111"/>
        <v>176.459</v>
      </c>
      <c r="Q219" s="239"/>
      <c r="R219" s="239">
        <v>0</v>
      </c>
      <c r="S219" s="239">
        <v>176.459</v>
      </c>
      <c r="T219" s="301"/>
      <c r="U219" s="235"/>
      <c r="V219" s="240">
        <f t="shared" si="112"/>
        <v>201113515</v>
      </c>
      <c r="W219" s="240">
        <v>201113515</v>
      </c>
      <c r="X219" s="240"/>
      <c r="Y219" s="240"/>
      <c r="Z219" s="302"/>
      <c r="AA219" s="302"/>
      <c r="AB219" s="241">
        <f t="shared" si="113"/>
        <v>0</v>
      </c>
      <c r="AC219" s="242">
        <f t="shared" si="102"/>
        <v>176459000</v>
      </c>
      <c r="AD219" s="312"/>
      <c r="AE219" s="302"/>
      <c r="AF219" s="302">
        <v>176459000</v>
      </c>
      <c r="AG219" s="240">
        <v>24654515</v>
      </c>
      <c r="AH219" s="240">
        <f t="shared" si="103"/>
        <v>0</v>
      </c>
      <c r="AI219" s="240">
        <f t="shared" si="104"/>
        <v>0</v>
      </c>
      <c r="AJ219" s="240">
        <f t="shared" si="115"/>
        <v>0</v>
      </c>
      <c r="AK219" s="302"/>
      <c r="AL219" s="244"/>
      <c r="AM219" s="236">
        <f t="shared" si="106"/>
        <v>0</v>
      </c>
      <c r="AN219" s="313"/>
    </row>
    <row r="220" spans="1:40" ht="27.75" customHeight="1">
      <c r="A220" s="230"/>
      <c r="B220" s="311" t="s">
        <v>1575</v>
      </c>
      <c r="C220" s="250"/>
      <c r="D220" s="250"/>
      <c r="E220" s="300"/>
      <c r="F220" s="235"/>
      <c r="G220" s="236"/>
      <c r="H220" s="236"/>
      <c r="I220" s="237"/>
      <c r="J220" s="238"/>
      <c r="K220" s="237"/>
      <c r="L220" s="237"/>
      <c r="M220" s="237"/>
      <c r="N220" s="239">
        <f t="shared" si="114"/>
        <v>301.802624</v>
      </c>
      <c r="O220" s="239"/>
      <c r="P220" s="239">
        <f t="shared" si="111"/>
        <v>301.802624</v>
      </c>
      <c r="Q220" s="239"/>
      <c r="R220" s="239">
        <v>0</v>
      </c>
      <c r="S220" s="239">
        <v>301.802624</v>
      </c>
      <c r="T220" s="301"/>
      <c r="U220" s="235"/>
      <c r="V220" s="240">
        <f t="shared" si="112"/>
        <v>301802624</v>
      </c>
      <c r="W220" s="240">
        <v>301802624</v>
      </c>
      <c r="X220" s="240"/>
      <c r="Y220" s="240"/>
      <c r="Z220" s="302"/>
      <c r="AA220" s="302"/>
      <c r="AB220" s="241">
        <f t="shared" si="113"/>
        <v>0</v>
      </c>
      <c r="AC220" s="242">
        <f t="shared" si="102"/>
        <v>301802624</v>
      </c>
      <c r="AD220" s="312"/>
      <c r="AE220" s="302"/>
      <c r="AF220" s="302">
        <v>301802624</v>
      </c>
      <c r="AG220" s="240"/>
      <c r="AH220" s="240">
        <f t="shared" si="103"/>
        <v>0</v>
      </c>
      <c r="AI220" s="240">
        <f t="shared" si="104"/>
        <v>0</v>
      </c>
      <c r="AJ220" s="240">
        <f t="shared" si="115"/>
        <v>0</v>
      </c>
      <c r="AK220" s="302"/>
      <c r="AL220" s="244"/>
      <c r="AM220" s="236">
        <f t="shared" si="106"/>
        <v>0</v>
      </c>
      <c r="AN220" s="313"/>
    </row>
    <row r="221" spans="1:40" ht="19.5" customHeight="1">
      <c r="A221" s="230"/>
      <c r="B221" s="311" t="s">
        <v>1576</v>
      </c>
      <c r="C221" s="250"/>
      <c r="D221" s="250"/>
      <c r="E221" s="300"/>
      <c r="F221" s="235"/>
      <c r="G221" s="236"/>
      <c r="H221" s="236"/>
      <c r="I221" s="237"/>
      <c r="J221" s="238"/>
      <c r="K221" s="237"/>
      <c r="L221" s="237"/>
      <c r="M221" s="237"/>
      <c r="N221" s="239">
        <f t="shared" si="114"/>
        <v>56.851</v>
      </c>
      <c r="O221" s="239"/>
      <c r="P221" s="239">
        <f t="shared" si="111"/>
        <v>56.851</v>
      </c>
      <c r="Q221" s="239"/>
      <c r="R221" s="239">
        <v>0</v>
      </c>
      <c r="S221" s="239">
        <v>56.851</v>
      </c>
      <c r="T221" s="301"/>
      <c r="U221" s="235"/>
      <c r="V221" s="240">
        <f t="shared" si="112"/>
        <v>56851000</v>
      </c>
      <c r="W221" s="240">
        <v>56851000</v>
      </c>
      <c r="X221" s="240"/>
      <c r="Y221" s="240"/>
      <c r="Z221" s="302"/>
      <c r="AA221" s="302"/>
      <c r="AB221" s="241">
        <f t="shared" si="113"/>
        <v>0</v>
      </c>
      <c r="AC221" s="242">
        <f t="shared" si="102"/>
        <v>56851000</v>
      </c>
      <c r="AD221" s="312"/>
      <c r="AE221" s="302"/>
      <c r="AF221" s="302">
        <v>56851000</v>
      </c>
      <c r="AG221" s="240"/>
      <c r="AH221" s="240">
        <f t="shared" si="103"/>
        <v>0</v>
      </c>
      <c r="AI221" s="240">
        <f t="shared" si="104"/>
        <v>0</v>
      </c>
      <c r="AJ221" s="240">
        <f t="shared" si="115"/>
        <v>0</v>
      </c>
      <c r="AK221" s="302"/>
      <c r="AL221" s="244"/>
      <c r="AM221" s="236">
        <f t="shared" si="106"/>
        <v>0</v>
      </c>
      <c r="AN221" s="313"/>
    </row>
    <row r="222" spans="1:40" ht="19.5" customHeight="1">
      <c r="A222" s="230"/>
      <c r="B222" s="311" t="s">
        <v>1577</v>
      </c>
      <c r="C222" s="250" t="s">
        <v>1050</v>
      </c>
      <c r="D222" s="250"/>
      <c r="E222" s="300"/>
      <c r="F222" s="235"/>
      <c r="G222" s="236"/>
      <c r="H222" s="236"/>
      <c r="I222" s="237">
        <f t="shared" si="110"/>
        <v>249</v>
      </c>
      <c r="J222" s="238"/>
      <c r="K222" s="237">
        <v>249</v>
      </c>
      <c r="L222" s="237"/>
      <c r="M222" s="237"/>
      <c r="N222" s="239">
        <f t="shared" si="114"/>
        <v>248.961</v>
      </c>
      <c r="O222" s="239"/>
      <c r="P222" s="239">
        <f t="shared" si="111"/>
        <v>248.961</v>
      </c>
      <c r="Q222" s="239">
        <v>248.961</v>
      </c>
      <c r="R222" s="239">
        <v>0</v>
      </c>
      <c r="S222" s="239">
        <v>0</v>
      </c>
      <c r="T222" s="301"/>
      <c r="U222" s="235"/>
      <c r="V222" s="240">
        <f>W222+X222</f>
        <v>0</v>
      </c>
      <c r="W222" s="240"/>
      <c r="X222" s="240"/>
      <c r="Y222" s="240">
        <v>249000000</v>
      </c>
      <c r="Z222" s="302"/>
      <c r="AA222" s="302"/>
      <c r="AB222" s="241">
        <f t="shared" si="113"/>
        <v>249000000</v>
      </c>
      <c r="AC222" s="242">
        <f t="shared" si="102"/>
        <v>248961000</v>
      </c>
      <c r="AD222" s="312">
        <v>248961000</v>
      </c>
      <c r="AE222" s="302"/>
      <c r="AF222" s="302"/>
      <c r="AG222" s="240"/>
      <c r="AH222" s="240">
        <f t="shared" si="103"/>
        <v>0</v>
      </c>
      <c r="AI222" s="240">
        <f t="shared" si="104"/>
        <v>0</v>
      </c>
      <c r="AJ222" s="240">
        <f t="shared" si="115"/>
        <v>0</v>
      </c>
      <c r="AK222" s="302"/>
      <c r="AL222" s="244"/>
      <c r="AM222" s="236">
        <f t="shared" si="106"/>
        <v>39000</v>
      </c>
      <c r="AN222" s="313" t="s">
        <v>1347</v>
      </c>
    </row>
    <row r="223" spans="1:40" ht="19.5" customHeight="1">
      <c r="A223" s="230"/>
      <c r="B223" s="311" t="s">
        <v>1578</v>
      </c>
      <c r="C223" s="250" t="s">
        <v>1267</v>
      </c>
      <c r="D223" s="250"/>
      <c r="E223" s="300"/>
      <c r="F223" s="235"/>
      <c r="G223" s="236"/>
      <c r="H223" s="236"/>
      <c r="I223" s="237">
        <f t="shared" si="110"/>
        <v>1000</v>
      </c>
      <c r="J223" s="238"/>
      <c r="K223" s="237">
        <v>1000</v>
      </c>
      <c r="L223" s="237"/>
      <c r="M223" s="237"/>
      <c r="N223" s="239">
        <f>SUM(P223,U223)</f>
        <v>998.9</v>
      </c>
      <c r="O223" s="239"/>
      <c r="P223" s="239">
        <v>998.9</v>
      </c>
      <c r="Q223" s="239"/>
      <c r="R223" s="239"/>
      <c r="S223" s="239"/>
      <c r="T223" s="301"/>
      <c r="U223" s="235"/>
      <c r="V223" s="240"/>
      <c r="W223" s="240"/>
      <c r="X223" s="240"/>
      <c r="Y223" s="240"/>
      <c r="Z223" s="302"/>
      <c r="AA223" s="302"/>
      <c r="AB223" s="241"/>
      <c r="AC223" s="242"/>
      <c r="AD223" s="312"/>
      <c r="AE223" s="302"/>
      <c r="AF223" s="302"/>
      <c r="AG223" s="240"/>
      <c r="AH223" s="240"/>
      <c r="AI223" s="240"/>
      <c r="AJ223" s="240"/>
      <c r="AK223" s="302"/>
      <c r="AL223" s="244"/>
      <c r="AM223" s="236"/>
      <c r="AN223" s="313"/>
    </row>
    <row r="224" spans="1:41" s="376" customFormat="1" ht="19.5" customHeight="1">
      <c r="A224" s="275" t="s">
        <v>1579</v>
      </c>
      <c r="B224" s="287" t="s">
        <v>1580</v>
      </c>
      <c r="C224" s="288"/>
      <c r="D224" s="288"/>
      <c r="E224" s="289"/>
      <c r="F224" s="290"/>
      <c r="G224" s="291"/>
      <c r="H224" s="291"/>
      <c r="I224" s="282">
        <f>SUM(I225,I227)</f>
        <v>9254.68</v>
      </c>
      <c r="J224" s="282">
        <f aca="true" t="shared" si="116" ref="J224:AO224">SUM(J225,J227)</f>
        <v>0</v>
      </c>
      <c r="K224" s="282">
        <f t="shared" si="116"/>
        <v>9254.68</v>
      </c>
      <c r="L224" s="282">
        <f t="shared" si="116"/>
        <v>0</v>
      </c>
      <c r="M224" s="282">
        <f t="shared" si="116"/>
        <v>0</v>
      </c>
      <c r="N224" s="282">
        <f t="shared" si="116"/>
        <v>9254.672999999999</v>
      </c>
      <c r="O224" s="282">
        <f t="shared" si="116"/>
        <v>0</v>
      </c>
      <c r="P224" s="282">
        <f t="shared" si="116"/>
        <v>9254.672999999999</v>
      </c>
      <c r="Q224" s="282">
        <f t="shared" si="116"/>
        <v>9254.672999999999</v>
      </c>
      <c r="R224" s="282">
        <f t="shared" si="116"/>
        <v>0</v>
      </c>
      <c r="S224" s="282">
        <f t="shared" si="116"/>
        <v>0</v>
      </c>
      <c r="T224" s="282">
        <f t="shared" si="116"/>
        <v>0</v>
      </c>
      <c r="U224" s="282">
        <f t="shared" si="116"/>
        <v>0</v>
      </c>
      <c r="V224" s="282">
        <f t="shared" si="116"/>
        <v>0</v>
      </c>
      <c r="W224" s="282">
        <f t="shared" si="116"/>
        <v>0</v>
      </c>
      <c r="X224" s="282">
        <f t="shared" si="116"/>
        <v>0</v>
      </c>
      <c r="Y224" s="282">
        <f t="shared" si="116"/>
        <v>4000000000</v>
      </c>
      <c r="Z224" s="282">
        <f t="shared" si="116"/>
        <v>0</v>
      </c>
      <c r="AA224" s="282">
        <f t="shared" si="116"/>
        <v>0</v>
      </c>
      <c r="AB224" s="282">
        <f t="shared" si="116"/>
        <v>4000000000</v>
      </c>
      <c r="AC224" s="282">
        <f t="shared" si="116"/>
        <v>4000000000</v>
      </c>
      <c r="AD224" s="282">
        <f t="shared" si="116"/>
        <v>4000000000</v>
      </c>
      <c r="AE224" s="282">
        <f t="shared" si="116"/>
        <v>0</v>
      </c>
      <c r="AF224" s="282">
        <f t="shared" si="116"/>
        <v>0</v>
      </c>
      <c r="AG224" s="282">
        <f t="shared" si="116"/>
        <v>0</v>
      </c>
      <c r="AH224" s="282">
        <f t="shared" si="116"/>
        <v>0</v>
      </c>
      <c r="AI224" s="282">
        <f t="shared" si="116"/>
        <v>0</v>
      </c>
      <c r="AJ224" s="282">
        <f t="shared" si="116"/>
        <v>0</v>
      </c>
      <c r="AK224" s="282">
        <f t="shared" si="116"/>
        <v>0</v>
      </c>
      <c r="AL224" s="282">
        <f t="shared" si="116"/>
        <v>0</v>
      </c>
      <c r="AM224" s="282">
        <f t="shared" si="116"/>
        <v>0</v>
      </c>
      <c r="AN224" s="282">
        <f t="shared" si="116"/>
        <v>0</v>
      </c>
      <c r="AO224" s="282">
        <f t="shared" si="116"/>
        <v>0</v>
      </c>
    </row>
    <row r="225" spans="1:41" s="437" customFormat="1" ht="19.5" customHeight="1">
      <c r="A225" s="407"/>
      <c r="B225" s="217" t="s">
        <v>1327</v>
      </c>
      <c r="C225" s="408"/>
      <c r="D225" s="408"/>
      <c r="E225" s="409"/>
      <c r="F225" s="410"/>
      <c r="G225" s="411"/>
      <c r="H225" s="411"/>
      <c r="I225" s="238">
        <f>SUM(I226)</f>
        <v>4000</v>
      </c>
      <c r="J225" s="238">
        <f aca="true" t="shared" si="117" ref="J225:AO225">SUM(J226)</f>
        <v>0</v>
      </c>
      <c r="K225" s="238">
        <f t="shared" si="117"/>
        <v>4000</v>
      </c>
      <c r="L225" s="238">
        <f t="shared" si="117"/>
        <v>0</v>
      </c>
      <c r="M225" s="238">
        <f t="shared" si="117"/>
        <v>0</v>
      </c>
      <c r="N225" s="238">
        <f t="shared" si="117"/>
        <v>4000</v>
      </c>
      <c r="O225" s="238">
        <f t="shared" si="117"/>
        <v>0</v>
      </c>
      <c r="P225" s="238">
        <f t="shared" si="117"/>
        <v>4000</v>
      </c>
      <c r="Q225" s="238">
        <f t="shared" si="117"/>
        <v>4000</v>
      </c>
      <c r="R225" s="238">
        <f t="shared" si="117"/>
        <v>0</v>
      </c>
      <c r="S225" s="238">
        <f t="shared" si="117"/>
        <v>0</v>
      </c>
      <c r="T225" s="238">
        <f t="shared" si="117"/>
        <v>0</v>
      </c>
      <c r="U225" s="238">
        <f t="shared" si="117"/>
        <v>0</v>
      </c>
      <c r="V225" s="238">
        <f t="shared" si="117"/>
        <v>0</v>
      </c>
      <c r="W225" s="238">
        <f t="shared" si="117"/>
        <v>0</v>
      </c>
      <c r="X225" s="238">
        <f t="shared" si="117"/>
        <v>0</v>
      </c>
      <c r="Y225" s="238">
        <f t="shared" si="117"/>
        <v>4000000000</v>
      </c>
      <c r="Z225" s="238">
        <f t="shared" si="117"/>
        <v>0</v>
      </c>
      <c r="AA225" s="238">
        <f t="shared" si="117"/>
        <v>0</v>
      </c>
      <c r="AB225" s="238">
        <f t="shared" si="117"/>
        <v>4000000000</v>
      </c>
      <c r="AC225" s="238">
        <f t="shared" si="117"/>
        <v>4000000000</v>
      </c>
      <c r="AD225" s="238">
        <f t="shared" si="117"/>
        <v>4000000000</v>
      </c>
      <c r="AE225" s="238">
        <f t="shared" si="117"/>
        <v>0</v>
      </c>
      <c r="AF225" s="238">
        <f t="shared" si="117"/>
        <v>0</v>
      </c>
      <c r="AG225" s="238">
        <f t="shared" si="117"/>
        <v>0</v>
      </c>
      <c r="AH225" s="238">
        <f t="shared" si="117"/>
        <v>0</v>
      </c>
      <c r="AI225" s="238">
        <f t="shared" si="117"/>
        <v>0</v>
      </c>
      <c r="AJ225" s="238">
        <f t="shared" si="117"/>
        <v>0</v>
      </c>
      <c r="AK225" s="238">
        <f t="shared" si="117"/>
        <v>0</v>
      </c>
      <c r="AL225" s="238">
        <f t="shared" si="117"/>
        <v>0</v>
      </c>
      <c r="AM225" s="238">
        <f t="shared" si="117"/>
        <v>0</v>
      </c>
      <c r="AN225" s="238">
        <f t="shared" si="117"/>
        <v>0</v>
      </c>
      <c r="AO225" s="238">
        <f t="shared" si="117"/>
        <v>0</v>
      </c>
    </row>
    <row r="226" spans="1:40" s="327" customFormat="1" ht="19.5" customHeight="1">
      <c r="A226" s="230"/>
      <c r="B226" s="311" t="s">
        <v>1581</v>
      </c>
      <c r="C226" s="334" t="s">
        <v>1553</v>
      </c>
      <c r="D226" s="401" t="s">
        <v>1582</v>
      </c>
      <c r="E226" s="316"/>
      <c r="F226" s="317">
        <v>44000</v>
      </c>
      <c r="G226" s="318">
        <v>25760</v>
      </c>
      <c r="H226" s="236">
        <v>20341</v>
      </c>
      <c r="I226" s="238">
        <f>K226+M226</f>
        <v>4000</v>
      </c>
      <c r="J226" s="256"/>
      <c r="K226" s="237">
        <v>4000</v>
      </c>
      <c r="L226" s="237"/>
      <c r="M226" s="237"/>
      <c r="N226" s="239">
        <f>Q226+R226+S226</f>
        <v>4000</v>
      </c>
      <c r="O226" s="239"/>
      <c r="P226" s="239">
        <f>SUM(Q226:S226)</f>
        <v>4000</v>
      </c>
      <c r="Q226" s="239">
        <v>4000</v>
      </c>
      <c r="R226" s="239"/>
      <c r="S226" s="239"/>
      <c r="T226" s="257"/>
      <c r="U226" s="254"/>
      <c r="V226" s="240">
        <f>W226+X226</f>
        <v>0</v>
      </c>
      <c r="W226" s="240"/>
      <c r="X226" s="240"/>
      <c r="Y226" s="240">
        <v>4000000000</v>
      </c>
      <c r="Z226" s="258"/>
      <c r="AA226" s="258"/>
      <c r="AB226" s="241">
        <f aca="true" t="shared" si="118" ref="AB226:AB231">Y226+Z226-AA226+X226</f>
        <v>4000000000</v>
      </c>
      <c r="AC226" s="242">
        <f>AD226+AE226+AF226</f>
        <v>4000000000</v>
      </c>
      <c r="AD226" s="240">
        <v>4000000000</v>
      </c>
      <c r="AE226" s="258"/>
      <c r="AF226" s="258"/>
      <c r="AG226" s="240"/>
      <c r="AH226" s="240">
        <f aca="true" t="shared" si="119" ref="AH226:AH231">AI226+AL226</f>
        <v>0</v>
      </c>
      <c r="AI226" s="240">
        <f aca="true" t="shared" si="120" ref="AI226:AI231">SUM(AJ226:AK226)</f>
        <v>0</v>
      </c>
      <c r="AJ226" s="240">
        <f aca="true" t="shared" si="121" ref="AJ226:AJ231">W226-AF226-AG226</f>
        <v>0</v>
      </c>
      <c r="AK226" s="438"/>
      <c r="AL226" s="244"/>
      <c r="AM226" s="236">
        <f aca="true" t="shared" si="122" ref="AM226:AM231">AB226-AD226-AE226-AK226-AL226</f>
        <v>0</v>
      </c>
      <c r="AN226" s="326"/>
    </row>
    <row r="227" spans="1:40" s="338" customFormat="1" ht="19.5" customHeight="1">
      <c r="A227" s="407"/>
      <c r="B227" s="217" t="s">
        <v>1329</v>
      </c>
      <c r="C227" s="439"/>
      <c r="D227" s="440"/>
      <c r="E227" s="441"/>
      <c r="F227" s="410"/>
      <c r="G227" s="411"/>
      <c r="H227" s="411"/>
      <c r="I227" s="282">
        <f>SUM(I228:I231)</f>
        <v>5254.68</v>
      </c>
      <c r="J227" s="282">
        <f aca="true" t="shared" si="123" ref="J227:U227">SUM(J228:J231)</f>
        <v>0</v>
      </c>
      <c r="K227" s="282">
        <f t="shared" si="123"/>
        <v>5254.68</v>
      </c>
      <c r="L227" s="282">
        <f t="shared" si="123"/>
        <v>0</v>
      </c>
      <c r="M227" s="282">
        <f t="shared" si="123"/>
        <v>0</v>
      </c>
      <c r="N227" s="282">
        <f t="shared" si="123"/>
        <v>5254.673</v>
      </c>
      <c r="O227" s="282">
        <f t="shared" si="123"/>
        <v>0</v>
      </c>
      <c r="P227" s="282">
        <f t="shared" si="123"/>
        <v>5254.673</v>
      </c>
      <c r="Q227" s="282">
        <f t="shared" si="123"/>
        <v>5254.673</v>
      </c>
      <c r="R227" s="282">
        <f t="shared" si="123"/>
        <v>0</v>
      </c>
      <c r="S227" s="282">
        <f t="shared" si="123"/>
        <v>0</v>
      </c>
      <c r="T227" s="282">
        <f t="shared" si="123"/>
        <v>0</v>
      </c>
      <c r="U227" s="282">
        <f t="shared" si="123"/>
        <v>0</v>
      </c>
      <c r="V227" s="240"/>
      <c r="W227" s="240"/>
      <c r="X227" s="240"/>
      <c r="Y227" s="240"/>
      <c r="Z227" s="336"/>
      <c r="AA227" s="336"/>
      <c r="AB227" s="241">
        <f t="shared" si="118"/>
        <v>0</v>
      </c>
      <c r="AC227" s="302"/>
      <c r="AD227" s="302"/>
      <c r="AE227" s="302"/>
      <c r="AF227" s="302"/>
      <c r="AG227" s="240"/>
      <c r="AH227" s="240">
        <f t="shared" si="119"/>
        <v>0</v>
      </c>
      <c r="AI227" s="240">
        <f t="shared" si="120"/>
        <v>0</v>
      </c>
      <c r="AJ227" s="240">
        <f t="shared" si="121"/>
        <v>0</v>
      </c>
      <c r="AK227" s="336"/>
      <c r="AL227" s="244"/>
      <c r="AM227" s="236">
        <f t="shared" si="122"/>
        <v>0</v>
      </c>
      <c r="AN227" s="245"/>
    </row>
    <row r="228" spans="1:40" s="327" customFormat="1" ht="19.5" customHeight="1">
      <c r="A228" s="230"/>
      <c r="B228" s="311" t="s">
        <v>1583</v>
      </c>
      <c r="C228" s="334" t="s">
        <v>1341</v>
      </c>
      <c r="D228" s="401" t="s">
        <v>1520</v>
      </c>
      <c r="E228" s="316"/>
      <c r="F228" s="317">
        <v>8000</v>
      </c>
      <c r="G228" s="318">
        <v>3745</v>
      </c>
      <c r="H228" s="236">
        <v>2000</v>
      </c>
      <c r="I228" s="238">
        <f>K228+M228</f>
        <v>1096</v>
      </c>
      <c r="J228" s="256"/>
      <c r="K228" s="237">
        <v>1096</v>
      </c>
      <c r="L228" s="237"/>
      <c r="M228" s="237"/>
      <c r="N228" s="239">
        <f>Q228+R228+S228</f>
        <v>1096</v>
      </c>
      <c r="O228" s="239"/>
      <c r="P228" s="239">
        <f>SUM(Q228:S228)</f>
        <v>1096</v>
      </c>
      <c r="Q228" s="239">
        <v>1096</v>
      </c>
      <c r="R228" s="239"/>
      <c r="S228" s="239"/>
      <c r="T228" s="257"/>
      <c r="U228" s="254"/>
      <c r="V228" s="240">
        <f>W228+X228</f>
        <v>0</v>
      </c>
      <c r="W228" s="240"/>
      <c r="X228" s="240"/>
      <c r="Y228" s="240">
        <v>1096000000</v>
      </c>
      <c r="Z228" s="258"/>
      <c r="AA228" s="258"/>
      <c r="AB228" s="241">
        <f t="shared" si="118"/>
        <v>1096000000</v>
      </c>
      <c r="AC228" s="242">
        <f>AD228+AE228+AF228</f>
        <v>1096000000</v>
      </c>
      <c r="AD228" s="240">
        <v>1096000000</v>
      </c>
      <c r="AE228" s="258"/>
      <c r="AF228" s="258"/>
      <c r="AG228" s="240"/>
      <c r="AH228" s="240">
        <f t="shared" si="119"/>
        <v>0</v>
      </c>
      <c r="AI228" s="240">
        <f t="shared" si="120"/>
        <v>0</v>
      </c>
      <c r="AJ228" s="240">
        <f t="shared" si="121"/>
        <v>0</v>
      </c>
      <c r="AK228" s="438"/>
      <c r="AL228" s="244"/>
      <c r="AM228" s="236">
        <f t="shared" si="122"/>
        <v>0</v>
      </c>
      <c r="AN228" s="326"/>
    </row>
    <row r="229" spans="1:40" s="327" customFormat="1" ht="19.5" customHeight="1">
      <c r="A229" s="230"/>
      <c r="B229" s="311" t="s">
        <v>1584</v>
      </c>
      <c r="C229" s="334" t="s">
        <v>1341</v>
      </c>
      <c r="D229" s="401" t="s">
        <v>1339</v>
      </c>
      <c r="E229" s="316"/>
      <c r="F229" s="317">
        <v>3700</v>
      </c>
      <c r="G229" s="318">
        <v>1500</v>
      </c>
      <c r="H229" s="236">
        <v>1500</v>
      </c>
      <c r="I229" s="238">
        <f>K229+M229</f>
        <v>850</v>
      </c>
      <c r="J229" s="256"/>
      <c r="K229" s="237">
        <v>850</v>
      </c>
      <c r="L229" s="237"/>
      <c r="M229" s="237"/>
      <c r="N229" s="239">
        <f>Q229+R229+S229</f>
        <v>850</v>
      </c>
      <c r="O229" s="239"/>
      <c r="P229" s="239">
        <f aca="true" t="shared" si="124" ref="P229:P237">SUM(Q229:S229)</f>
        <v>850</v>
      </c>
      <c r="Q229" s="239">
        <v>850</v>
      </c>
      <c r="R229" s="239"/>
      <c r="S229" s="239"/>
      <c r="T229" s="257"/>
      <c r="U229" s="254"/>
      <c r="V229" s="240">
        <f>W229+X229</f>
        <v>0</v>
      </c>
      <c r="W229" s="240"/>
      <c r="X229" s="240"/>
      <c r="Y229" s="240">
        <v>850000000</v>
      </c>
      <c r="Z229" s="258"/>
      <c r="AA229" s="258"/>
      <c r="AB229" s="241">
        <f t="shared" si="118"/>
        <v>850000000</v>
      </c>
      <c r="AC229" s="242">
        <f>AD229+AE229+AF229</f>
        <v>850000000</v>
      </c>
      <c r="AD229" s="242">
        <v>850000000</v>
      </c>
      <c r="AE229" s="258"/>
      <c r="AF229" s="258"/>
      <c r="AG229" s="240"/>
      <c r="AH229" s="240">
        <f t="shared" si="119"/>
        <v>0</v>
      </c>
      <c r="AI229" s="240">
        <f t="shared" si="120"/>
        <v>0</v>
      </c>
      <c r="AJ229" s="240">
        <f t="shared" si="121"/>
        <v>0</v>
      </c>
      <c r="AK229" s="438"/>
      <c r="AL229" s="244"/>
      <c r="AM229" s="236">
        <f t="shared" si="122"/>
        <v>0</v>
      </c>
      <c r="AN229" s="326"/>
    </row>
    <row r="230" spans="1:40" s="321" customFormat="1" ht="19.5" customHeight="1">
      <c r="A230" s="230"/>
      <c r="B230" s="442" t="s">
        <v>1585</v>
      </c>
      <c r="C230" s="334" t="s">
        <v>1050</v>
      </c>
      <c r="D230" s="401" t="s">
        <v>1377</v>
      </c>
      <c r="E230" s="316"/>
      <c r="F230" s="317">
        <v>10370</v>
      </c>
      <c r="G230" s="318">
        <v>10059</v>
      </c>
      <c r="H230" s="236">
        <v>7000</v>
      </c>
      <c r="I230" s="238">
        <f>K230+M230</f>
        <v>3300</v>
      </c>
      <c r="J230" s="238"/>
      <c r="K230" s="237">
        <v>3300</v>
      </c>
      <c r="L230" s="237"/>
      <c r="M230" s="237"/>
      <c r="N230" s="239">
        <f>Q230+R230+S230</f>
        <v>3300</v>
      </c>
      <c r="O230" s="239"/>
      <c r="P230" s="239">
        <f t="shared" si="124"/>
        <v>3300</v>
      </c>
      <c r="Q230" s="239">
        <v>3300</v>
      </c>
      <c r="R230" s="239"/>
      <c r="S230" s="239"/>
      <c r="T230" s="301"/>
      <c r="U230" s="235"/>
      <c r="V230" s="240">
        <f>W230+X230</f>
        <v>0</v>
      </c>
      <c r="W230" s="240"/>
      <c r="X230" s="240"/>
      <c r="Y230" s="240">
        <v>3300000000</v>
      </c>
      <c r="Z230" s="302"/>
      <c r="AA230" s="302"/>
      <c r="AB230" s="241">
        <f t="shared" si="118"/>
        <v>3300000000</v>
      </c>
      <c r="AC230" s="242">
        <f>AD230+AE230+AF230</f>
        <v>3300000000</v>
      </c>
      <c r="AD230" s="240">
        <v>3300000000</v>
      </c>
      <c r="AE230" s="302"/>
      <c r="AF230" s="302"/>
      <c r="AG230" s="240"/>
      <c r="AH230" s="240">
        <f t="shared" si="119"/>
        <v>0</v>
      </c>
      <c r="AI230" s="240">
        <f t="shared" si="120"/>
        <v>0</v>
      </c>
      <c r="AJ230" s="240">
        <f t="shared" si="121"/>
        <v>0</v>
      </c>
      <c r="AK230" s="443"/>
      <c r="AL230" s="244"/>
      <c r="AM230" s="236">
        <f t="shared" si="122"/>
        <v>0</v>
      </c>
      <c r="AN230" s="224"/>
    </row>
    <row r="231" spans="1:40" s="327" customFormat="1" ht="19.5" customHeight="1">
      <c r="A231" s="230"/>
      <c r="B231" s="311" t="s">
        <v>1586</v>
      </c>
      <c r="C231" s="334" t="s">
        <v>1355</v>
      </c>
      <c r="D231" s="401" t="s">
        <v>1520</v>
      </c>
      <c r="E231" s="316"/>
      <c r="F231" s="317"/>
      <c r="G231" s="318"/>
      <c r="H231" s="236"/>
      <c r="I231" s="238">
        <f>K231+M231</f>
        <v>8.68</v>
      </c>
      <c r="J231" s="256"/>
      <c r="K231" s="237">
        <v>8.68</v>
      </c>
      <c r="L231" s="237"/>
      <c r="M231" s="237"/>
      <c r="N231" s="239">
        <f>Q231+R231+S231</f>
        <v>8.673</v>
      </c>
      <c r="O231" s="239"/>
      <c r="P231" s="239">
        <f t="shared" si="124"/>
        <v>8.673</v>
      </c>
      <c r="Q231" s="239">
        <v>8.673</v>
      </c>
      <c r="R231" s="239"/>
      <c r="S231" s="239"/>
      <c r="T231" s="257"/>
      <c r="U231" s="254"/>
      <c r="V231" s="240">
        <f>W231+X231</f>
        <v>0</v>
      </c>
      <c r="W231" s="240"/>
      <c r="X231" s="240"/>
      <c r="Y231" s="240">
        <v>8680000</v>
      </c>
      <c r="Z231" s="258"/>
      <c r="AA231" s="258"/>
      <c r="AB231" s="241">
        <f t="shared" si="118"/>
        <v>8680000</v>
      </c>
      <c r="AC231" s="242">
        <f>AD231+AE231+AF231</f>
        <v>8673000</v>
      </c>
      <c r="AD231" s="312">
        <v>8673000</v>
      </c>
      <c r="AE231" s="258"/>
      <c r="AF231" s="258"/>
      <c r="AG231" s="240"/>
      <c r="AH231" s="240">
        <f t="shared" si="119"/>
        <v>0</v>
      </c>
      <c r="AI231" s="240">
        <f t="shared" si="120"/>
        <v>0</v>
      </c>
      <c r="AJ231" s="240">
        <f t="shared" si="121"/>
        <v>0</v>
      </c>
      <c r="AK231" s="438"/>
      <c r="AL231" s="244"/>
      <c r="AM231" s="236">
        <f t="shared" si="122"/>
        <v>7000</v>
      </c>
      <c r="AN231" s="444" t="s">
        <v>1347</v>
      </c>
    </row>
    <row r="232" spans="1:41" s="197" customFormat="1" ht="24.75" customHeight="1">
      <c r="A232" s="216" t="s">
        <v>1587</v>
      </c>
      <c r="B232" s="445" t="s">
        <v>1588</v>
      </c>
      <c r="C232" s="446" t="s">
        <v>1404</v>
      </c>
      <c r="D232" s="447"/>
      <c r="E232" s="448"/>
      <c r="F232" s="220">
        <v>17000</v>
      </c>
      <c r="G232" s="221">
        <f>SUM(G233:G252)</f>
        <v>98255</v>
      </c>
      <c r="H232" s="221">
        <f>SUM(H233:H252)</f>
        <v>74553</v>
      </c>
      <c r="I232" s="222">
        <f>SUM(I233,I236,I238,I246,I249:I250,I253)</f>
        <v>9623</v>
      </c>
      <c r="J232" s="222">
        <f aca="true" t="shared" si="125" ref="J232:U232">SUM(J233,J236,J238,J246,J249:J250,J253)</f>
        <v>0</v>
      </c>
      <c r="K232" s="222">
        <f t="shared" si="125"/>
        <v>9623</v>
      </c>
      <c r="L232" s="222">
        <f t="shared" si="125"/>
        <v>0</v>
      </c>
      <c r="M232" s="222">
        <f t="shared" si="125"/>
        <v>0</v>
      </c>
      <c r="N232" s="222">
        <f t="shared" si="125"/>
        <v>9281.519656</v>
      </c>
      <c r="O232" s="222">
        <f t="shared" si="125"/>
        <v>0</v>
      </c>
      <c r="P232" s="222">
        <f t="shared" si="125"/>
        <v>9281.519656</v>
      </c>
      <c r="Q232" s="222">
        <f t="shared" si="125"/>
        <v>8259.429656</v>
      </c>
      <c r="R232" s="222">
        <f t="shared" si="125"/>
        <v>0</v>
      </c>
      <c r="S232" s="222">
        <f t="shared" si="125"/>
        <v>0</v>
      </c>
      <c r="T232" s="222">
        <f t="shared" si="125"/>
        <v>0</v>
      </c>
      <c r="U232" s="222">
        <f t="shared" si="125"/>
        <v>0</v>
      </c>
      <c r="V232" s="222">
        <f aca="true" t="shared" si="126" ref="V232:AO232">SUM(V233,V236,V238,V246,V249,V250)</f>
        <v>0</v>
      </c>
      <c r="W232" s="222">
        <f t="shared" si="126"/>
        <v>0</v>
      </c>
      <c r="X232" s="222">
        <f t="shared" si="126"/>
        <v>0</v>
      </c>
      <c r="Y232" s="222">
        <f t="shared" si="126"/>
        <v>8576000000</v>
      </c>
      <c r="Z232" s="222">
        <f t="shared" si="126"/>
        <v>0</v>
      </c>
      <c r="AA232" s="222">
        <f t="shared" si="126"/>
        <v>93069000</v>
      </c>
      <c r="AB232" s="222">
        <f t="shared" si="126"/>
        <v>8482931000</v>
      </c>
      <c r="AC232" s="222">
        <f t="shared" si="126"/>
        <v>8259429656</v>
      </c>
      <c r="AD232" s="222">
        <f t="shared" si="126"/>
        <v>8259429656</v>
      </c>
      <c r="AE232" s="222">
        <f t="shared" si="126"/>
        <v>0</v>
      </c>
      <c r="AF232" s="222">
        <f t="shared" si="126"/>
        <v>0</v>
      </c>
      <c r="AG232" s="222">
        <f t="shared" si="126"/>
        <v>0</v>
      </c>
      <c r="AH232" s="222">
        <f t="shared" si="126"/>
        <v>223499200</v>
      </c>
      <c r="AI232" s="222">
        <f t="shared" si="126"/>
        <v>187767900</v>
      </c>
      <c r="AJ232" s="222">
        <f t="shared" si="126"/>
        <v>0</v>
      </c>
      <c r="AK232" s="222">
        <f t="shared" si="126"/>
        <v>187767900</v>
      </c>
      <c r="AL232" s="222">
        <f t="shared" si="126"/>
        <v>35731300</v>
      </c>
      <c r="AM232" s="222">
        <f t="shared" si="126"/>
        <v>2144</v>
      </c>
      <c r="AN232" s="222">
        <f t="shared" si="126"/>
        <v>0</v>
      </c>
      <c r="AO232" s="222">
        <f t="shared" si="126"/>
        <v>0</v>
      </c>
    </row>
    <row r="233" spans="1:40" s="197" customFormat="1" ht="19.5" customHeight="1">
      <c r="A233" s="216" t="s">
        <v>1253</v>
      </c>
      <c r="B233" s="445" t="s">
        <v>1589</v>
      </c>
      <c r="C233" s="446"/>
      <c r="D233" s="447"/>
      <c r="E233" s="448"/>
      <c r="F233" s="220"/>
      <c r="G233" s="221"/>
      <c r="H233" s="221"/>
      <c r="I233" s="222">
        <f>SUM(I234:I235)</f>
        <v>2306</v>
      </c>
      <c r="J233" s="222"/>
      <c r="K233" s="222">
        <f>SUM(K234:K235)</f>
        <v>2306</v>
      </c>
      <c r="L233" s="222"/>
      <c r="M233" s="222"/>
      <c r="N233" s="222">
        <f>SUM(N234:N235)</f>
        <v>2118.2321</v>
      </c>
      <c r="O233" s="222"/>
      <c r="P233" s="296">
        <f t="shared" si="124"/>
        <v>2118.2321</v>
      </c>
      <c r="Q233" s="222">
        <f>SUM(Q234:Q235)</f>
        <v>2118.2321</v>
      </c>
      <c r="R233" s="222"/>
      <c r="S233" s="222"/>
      <c r="T233" s="222"/>
      <c r="U233" s="221"/>
      <c r="V233" s="223">
        <f aca="true" t="shared" si="127" ref="V233:AH233">SUM(V234:V235)</f>
        <v>0</v>
      </c>
      <c r="W233" s="223">
        <f t="shared" si="127"/>
        <v>0</v>
      </c>
      <c r="X233" s="223">
        <f t="shared" si="127"/>
        <v>0</v>
      </c>
      <c r="Y233" s="223">
        <f t="shared" si="127"/>
        <v>2306000000</v>
      </c>
      <c r="Z233" s="223">
        <f>SUM(Z234:Z235)</f>
        <v>0</v>
      </c>
      <c r="AA233" s="223">
        <f>SUM(AA234:AA235)</f>
        <v>0</v>
      </c>
      <c r="AB233" s="223">
        <f>SUM(AB234:AB235)</f>
        <v>2306000000</v>
      </c>
      <c r="AC233" s="223">
        <f t="shared" si="127"/>
        <v>2118232100</v>
      </c>
      <c r="AD233" s="223">
        <f t="shared" si="127"/>
        <v>2118232100</v>
      </c>
      <c r="AE233" s="223">
        <f t="shared" si="127"/>
        <v>0</v>
      </c>
      <c r="AF233" s="223">
        <f t="shared" si="127"/>
        <v>0</v>
      </c>
      <c r="AG233" s="223">
        <f t="shared" si="127"/>
        <v>0</v>
      </c>
      <c r="AH233" s="223">
        <f t="shared" si="127"/>
        <v>187767900</v>
      </c>
      <c r="AI233" s="223">
        <f>SUM(AI234:AI235)</f>
        <v>187767900</v>
      </c>
      <c r="AJ233" s="223">
        <f>SUM(AJ234:AJ235)</f>
        <v>0</v>
      </c>
      <c r="AK233" s="223">
        <f>SUM(AK234:AK235)</f>
        <v>187767900</v>
      </c>
      <c r="AL233" s="221"/>
      <c r="AM233" s="221">
        <f>SUM(AM234:AM235)</f>
        <v>0</v>
      </c>
      <c r="AN233" s="196"/>
    </row>
    <row r="234" spans="1:40" ht="19.5" customHeight="1">
      <c r="A234" s="230"/>
      <c r="B234" s="311" t="s">
        <v>1590</v>
      </c>
      <c r="C234" s="250" t="s">
        <v>1591</v>
      </c>
      <c r="D234" s="319" t="s">
        <v>1592</v>
      </c>
      <c r="E234" s="300" t="s">
        <v>1593</v>
      </c>
      <c r="F234" s="235">
        <v>55878</v>
      </c>
      <c r="G234" s="236">
        <v>5500</v>
      </c>
      <c r="H234" s="236">
        <v>948</v>
      </c>
      <c r="I234" s="237">
        <f>K234+M234</f>
        <v>1666</v>
      </c>
      <c r="J234" s="238"/>
      <c r="K234" s="237">
        <v>1666</v>
      </c>
      <c r="L234" s="237"/>
      <c r="M234" s="237"/>
      <c r="N234" s="239">
        <f>Q234+R234+S234</f>
        <v>1478.2321</v>
      </c>
      <c r="O234" s="239"/>
      <c r="P234" s="239">
        <f t="shared" si="124"/>
        <v>1478.2321</v>
      </c>
      <c r="Q234" s="239">
        <v>1478.2321</v>
      </c>
      <c r="R234" s="239"/>
      <c r="S234" s="239"/>
      <c r="T234" s="301"/>
      <c r="U234" s="235"/>
      <c r="V234" s="240">
        <f>W234+X234</f>
        <v>0</v>
      </c>
      <c r="W234" s="240"/>
      <c r="X234" s="240"/>
      <c r="Y234" s="240">
        <v>1666000000</v>
      </c>
      <c r="Z234" s="302"/>
      <c r="AA234" s="302"/>
      <c r="AB234" s="241">
        <f>Y234+Z234-AA234+X234</f>
        <v>1666000000</v>
      </c>
      <c r="AC234" s="242">
        <f>AD234+AE234+AF234</f>
        <v>1478232100</v>
      </c>
      <c r="AD234" s="259">
        <v>1478232100</v>
      </c>
      <c r="AE234" s="302"/>
      <c r="AF234" s="302"/>
      <c r="AG234" s="240"/>
      <c r="AH234" s="240">
        <f>AI234+AL234</f>
        <v>187767900</v>
      </c>
      <c r="AI234" s="240">
        <f>SUM(AJ234:AK234)</f>
        <v>187767900</v>
      </c>
      <c r="AJ234" s="240">
        <f>W234-AF234-AG234</f>
        <v>0</v>
      </c>
      <c r="AK234" s="341">
        <v>187767900</v>
      </c>
      <c r="AL234" s="244"/>
      <c r="AM234" s="236">
        <f>AB234-AD234-AE234-AK234-AL234</f>
        <v>0</v>
      </c>
      <c r="AN234" s="378" t="s">
        <v>1594</v>
      </c>
    </row>
    <row r="235" spans="1:40" ht="19.5" customHeight="1">
      <c r="A235" s="230"/>
      <c r="B235" s="311" t="s">
        <v>1595</v>
      </c>
      <c r="C235" s="250" t="s">
        <v>1591</v>
      </c>
      <c r="D235" s="319" t="s">
        <v>1596</v>
      </c>
      <c r="E235" s="300" t="s">
        <v>1597</v>
      </c>
      <c r="F235" s="235">
        <v>58341</v>
      </c>
      <c r="G235" s="236">
        <v>4900</v>
      </c>
      <c r="H235" s="236">
        <v>462</v>
      </c>
      <c r="I235" s="237">
        <f>K235+M235</f>
        <v>640</v>
      </c>
      <c r="J235" s="238"/>
      <c r="K235" s="237">
        <v>640</v>
      </c>
      <c r="L235" s="237"/>
      <c r="M235" s="237"/>
      <c r="N235" s="239">
        <f>Q235+R235+S235</f>
        <v>640</v>
      </c>
      <c r="O235" s="239"/>
      <c r="P235" s="239">
        <f t="shared" si="124"/>
        <v>640</v>
      </c>
      <c r="Q235" s="239">
        <v>640</v>
      </c>
      <c r="R235" s="239"/>
      <c r="S235" s="239"/>
      <c r="T235" s="301"/>
      <c r="U235" s="235"/>
      <c r="V235" s="240">
        <f>W235+X235</f>
        <v>0</v>
      </c>
      <c r="W235" s="240"/>
      <c r="X235" s="240"/>
      <c r="Y235" s="240">
        <v>640000000</v>
      </c>
      <c r="Z235" s="302"/>
      <c r="AA235" s="302"/>
      <c r="AB235" s="241">
        <f>Y235+Z235-AA235+X235</f>
        <v>640000000</v>
      </c>
      <c r="AC235" s="242">
        <f>AD235+AE235+AF235</f>
        <v>640000000</v>
      </c>
      <c r="AD235" s="259">
        <v>640000000</v>
      </c>
      <c r="AE235" s="302"/>
      <c r="AF235" s="302"/>
      <c r="AG235" s="240"/>
      <c r="AH235" s="240">
        <f>AI235+AL235</f>
        <v>0</v>
      </c>
      <c r="AI235" s="240">
        <f>SUM(AJ235:AK235)</f>
        <v>0</v>
      </c>
      <c r="AJ235" s="240">
        <f>W235-AF235-AG235</f>
        <v>0</v>
      </c>
      <c r="AK235" s="302"/>
      <c r="AL235" s="244"/>
      <c r="AM235" s="236">
        <f>AB235-AD235-AE235-AK235-AL235</f>
        <v>0</v>
      </c>
      <c r="AN235" s="378" t="s">
        <v>1594</v>
      </c>
    </row>
    <row r="236" spans="1:40" s="197" customFormat="1" ht="19.5" customHeight="1">
      <c r="A236" s="216" t="s">
        <v>1253</v>
      </c>
      <c r="B236" s="445" t="s">
        <v>1598</v>
      </c>
      <c r="C236" s="446"/>
      <c r="D236" s="447"/>
      <c r="E236" s="448"/>
      <c r="F236" s="220"/>
      <c r="G236" s="221"/>
      <c r="H236" s="221"/>
      <c r="I236" s="222">
        <f>I237</f>
        <v>100</v>
      </c>
      <c r="J236" s="222"/>
      <c r="K236" s="222">
        <f>K237</f>
        <v>100</v>
      </c>
      <c r="L236" s="222"/>
      <c r="M236" s="222"/>
      <c r="N236" s="222">
        <f>N237</f>
        <v>100</v>
      </c>
      <c r="O236" s="222">
        <f>O237</f>
        <v>0</v>
      </c>
      <c r="P236" s="222">
        <f>P237</f>
        <v>100</v>
      </c>
      <c r="Q236" s="222">
        <f>Q237</f>
        <v>100</v>
      </c>
      <c r="R236" s="222"/>
      <c r="S236" s="222"/>
      <c r="T236" s="222"/>
      <c r="U236" s="221"/>
      <c r="V236" s="223">
        <f aca="true" t="shared" si="128" ref="V236:AM236">V237</f>
        <v>0</v>
      </c>
      <c r="W236" s="223">
        <f t="shared" si="128"/>
        <v>0</v>
      </c>
      <c r="X236" s="223">
        <f t="shared" si="128"/>
        <v>0</v>
      </c>
      <c r="Y236" s="223">
        <f>Y237</f>
        <v>100000000</v>
      </c>
      <c r="Z236" s="223">
        <f t="shared" si="128"/>
        <v>0</v>
      </c>
      <c r="AA236" s="223">
        <f t="shared" si="128"/>
        <v>0</v>
      </c>
      <c r="AB236" s="223">
        <f t="shared" si="128"/>
        <v>100000000</v>
      </c>
      <c r="AC236" s="223">
        <f t="shared" si="128"/>
        <v>100000000</v>
      </c>
      <c r="AD236" s="223">
        <f t="shared" si="128"/>
        <v>100000000</v>
      </c>
      <c r="AE236" s="223">
        <f t="shared" si="128"/>
        <v>0</v>
      </c>
      <c r="AF236" s="223">
        <f t="shared" si="128"/>
        <v>0</v>
      </c>
      <c r="AG236" s="223">
        <f t="shared" si="128"/>
        <v>0</v>
      </c>
      <c r="AH236" s="223">
        <f t="shared" si="128"/>
        <v>0</v>
      </c>
      <c r="AI236" s="223">
        <f t="shared" si="128"/>
        <v>0</v>
      </c>
      <c r="AJ236" s="223">
        <f t="shared" si="128"/>
        <v>0</v>
      </c>
      <c r="AK236" s="223">
        <f t="shared" si="128"/>
        <v>0</v>
      </c>
      <c r="AL236" s="221"/>
      <c r="AM236" s="221">
        <f t="shared" si="128"/>
        <v>0</v>
      </c>
      <c r="AN236" s="196"/>
    </row>
    <row r="237" spans="1:40" ht="19.5" customHeight="1">
      <c r="A237" s="230"/>
      <c r="B237" s="311" t="s">
        <v>1599</v>
      </c>
      <c r="C237" s="250" t="s">
        <v>1493</v>
      </c>
      <c r="D237" s="319" t="s">
        <v>1356</v>
      </c>
      <c r="E237" s="300"/>
      <c r="F237" s="235">
        <v>20000</v>
      </c>
      <c r="G237" s="236">
        <v>4412</v>
      </c>
      <c r="H237" s="236">
        <v>1811</v>
      </c>
      <c r="I237" s="237">
        <f>K237+M237</f>
        <v>100</v>
      </c>
      <c r="J237" s="238"/>
      <c r="K237" s="237">
        <v>100</v>
      </c>
      <c r="L237" s="237"/>
      <c r="M237" s="237"/>
      <c r="N237" s="239">
        <f>Q237+R237+S237</f>
        <v>100</v>
      </c>
      <c r="O237" s="239"/>
      <c r="P237" s="239">
        <f t="shared" si="124"/>
        <v>100</v>
      </c>
      <c r="Q237" s="239">
        <v>100</v>
      </c>
      <c r="R237" s="239"/>
      <c r="S237" s="239"/>
      <c r="T237" s="301"/>
      <c r="U237" s="235"/>
      <c r="V237" s="240">
        <f>W237+X237</f>
        <v>0</v>
      </c>
      <c r="W237" s="240"/>
      <c r="X237" s="240"/>
      <c r="Y237" s="240">
        <v>100000000</v>
      </c>
      <c r="Z237" s="302"/>
      <c r="AA237" s="302"/>
      <c r="AB237" s="241">
        <f>Y237+Z237-AA237+X237</f>
        <v>100000000</v>
      </c>
      <c r="AC237" s="242">
        <f>AD237+AE237+AF237</f>
        <v>100000000</v>
      </c>
      <c r="AD237" s="240">
        <v>100000000</v>
      </c>
      <c r="AE237" s="302"/>
      <c r="AF237" s="302"/>
      <c r="AG237" s="240"/>
      <c r="AH237" s="240">
        <f>AI237+AL237</f>
        <v>0</v>
      </c>
      <c r="AI237" s="240">
        <f>SUM(AJ237:AK237)</f>
        <v>0</v>
      </c>
      <c r="AJ237" s="240">
        <f>W237-AF237-AG237</f>
        <v>0</v>
      </c>
      <c r="AK237" s="302"/>
      <c r="AL237" s="244"/>
      <c r="AM237" s="236">
        <f>AB237-AD237-AE237-AK237-AL237</f>
        <v>0</v>
      </c>
      <c r="AN237" s="378" t="s">
        <v>1594</v>
      </c>
    </row>
    <row r="238" spans="1:40" s="197" customFormat="1" ht="19.5" customHeight="1">
      <c r="A238" s="216" t="s">
        <v>1253</v>
      </c>
      <c r="B238" s="445" t="s">
        <v>1600</v>
      </c>
      <c r="C238" s="446"/>
      <c r="D238" s="447"/>
      <c r="E238" s="448"/>
      <c r="F238" s="220"/>
      <c r="G238" s="221"/>
      <c r="H238" s="221"/>
      <c r="I238" s="222">
        <f>SUM(I239,I244)</f>
        <v>694</v>
      </c>
      <c r="J238" s="222">
        <f aca="true" t="shared" si="129" ref="J238:U238">SUM(J239,J244)</f>
        <v>0</v>
      </c>
      <c r="K238" s="222">
        <f t="shared" si="129"/>
        <v>694</v>
      </c>
      <c r="L238" s="222">
        <f t="shared" si="129"/>
        <v>0</v>
      </c>
      <c r="M238" s="222">
        <f t="shared" si="129"/>
        <v>0</v>
      </c>
      <c r="N238" s="222">
        <f t="shared" si="129"/>
        <v>653.887856</v>
      </c>
      <c r="O238" s="222">
        <f t="shared" si="129"/>
        <v>0</v>
      </c>
      <c r="P238" s="222">
        <f t="shared" si="129"/>
        <v>653.887856</v>
      </c>
      <c r="Q238" s="222">
        <f t="shared" si="129"/>
        <v>653.887856</v>
      </c>
      <c r="R238" s="222">
        <f t="shared" si="129"/>
        <v>0</v>
      </c>
      <c r="S238" s="222">
        <f t="shared" si="129"/>
        <v>0</v>
      </c>
      <c r="T238" s="222">
        <f t="shared" si="129"/>
        <v>0</v>
      </c>
      <c r="U238" s="222">
        <f t="shared" si="129"/>
        <v>0</v>
      </c>
      <c r="V238" s="223">
        <f aca="true" t="shared" si="130" ref="V238:AK238">SUM(V239:V245)</f>
        <v>0</v>
      </c>
      <c r="W238" s="223">
        <f t="shared" si="130"/>
        <v>0</v>
      </c>
      <c r="X238" s="223">
        <f t="shared" si="130"/>
        <v>0</v>
      </c>
      <c r="Y238" s="223">
        <f t="shared" si="130"/>
        <v>694000000</v>
      </c>
      <c r="Z238" s="223">
        <f t="shared" si="130"/>
        <v>0</v>
      </c>
      <c r="AA238" s="223">
        <f t="shared" si="130"/>
        <v>40110000</v>
      </c>
      <c r="AB238" s="223">
        <f t="shared" si="130"/>
        <v>653890000</v>
      </c>
      <c r="AC238" s="223">
        <f t="shared" si="130"/>
        <v>653887856</v>
      </c>
      <c r="AD238" s="223">
        <f t="shared" si="130"/>
        <v>653887856</v>
      </c>
      <c r="AE238" s="223">
        <f t="shared" si="130"/>
        <v>0</v>
      </c>
      <c r="AF238" s="223">
        <f t="shared" si="130"/>
        <v>0</v>
      </c>
      <c r="AG238" s="223">
        <f t="shared" si="130"/>
        <v>0</v>
      </c>
      <c r="AH238" s="223">
        <f t="shared" si="130"/>
        <v>0</v>
      </c>
      <c r="AI238" s="223">
        <f t="shared" si="130"/>
        <v>0</v>
      </c>
      <c r="AJ238" s="223">
        <f t="shared" si="130"/>
        <v>0</v>
      </c>
      <c r="AK238" s="223">
        <f t="shared" si="130"/>
        <v>0</v>
      </c>
      <c r="AL238" s="223">
        <f>SUM(AL239:AL245)</f>
        <v>0</v>
      </c>
      <c r="AM238" s="221">
        <f>SUM(AM239:AM245)</f>
        <v>2144</v>
      </c>
      <c r="AN238" s="378" t="s">
        <v>1594</v>
      </c>
    </row>
    <row r="239" spans="1:40" s="197" customFormat="1" ht="19.5" customHeight="1">
      <c r="A239" s="216"/>
      <c r="B239" s="445" t="s">
        <v>1601</v>
      </c>
      <c r="C239" s="446"/>
      <c r="D239" s="447"/>
      <c r="E239" s="448"/>
      <c r="F239" s="220"/>
      <c r="G239" s="221"/>
      <c r="H239" s="221"/>
      <c r="I239" s="282">
        <f>SUM(I240:I243)</f>
        <v>560</v>
      </c>
      <c r="J239" s="282">
        <f aca="true" t="shared" si="131" ref="J239:U239">SUM(J240:J243)</f>
        <v>0</v>
      </c>
      <c r="K239" s="282">
        <f t="shared" si="131"/>
        <v>560</v>
      </c>
      <c r="L239" s="282">
        <f t="shared" si="131"/>
        <v>0</v>
      </c>
      <c r="M239" s="282">
        <f t="shared" si="131"/>
        <v>0</v>
      </c>
      <c r="N239" s="282">
        <f t="shared" si="131"/>
        <v>535.197227</v>
      </c>
      <c r="O239" s="282">
        <f t="shared" si="131"/>
        <v>0</v>
      </c>
      <c r="P239" s="282">
        <f t="shared" si="131"/>
        <v>535.197227</v>
      </c>
      <c r="Q239" s="282">
        <f t="shared" si="131"/>
        <v>535.197227</v>
      </c>
      <c r="R239" s="282">
        <f t="shared" si="131"/>
        <v>0</v>
      </c>
      <c r="S239" s="282">
        <f t="shared" si="131"/>
        <v>0</v>
      </c>
      <c r="T239" s="282">
        <f t="shared" si="131"/>
        <v>0</v>
      </c>
      <c r="U239" s="237">
        <f t="shared" si="131"/>
        <v>0</v>
      </c>
      <c r="V239" s="240"/>
      <c r="W239" s="240"/>
      <c r="X239" s="240"/>
      <c r="Y239" s="240"/>
      <c r="Z239" s="228"/>
      <c r="AA239" s="228"/>
      <c r="AB239" s="228"/>
      <c r="AC239" s="242">
        <f aca="true" t="shared" si="132" ref="AC239:AC245">AD239+AE239+AF239</f>
        <v>0</v>
      </c>
      <c r="AD239" s="228"/>
      <c r="AE239" s="228"/>
      <c r="AF239" s="228"/>
      <c r="AG239" s="240"/>
      <c r="AH239" s="240">
        <f aca="true" t="shared" si="133" ref="AH239:AH245">AI239+AL239</f>
        <v>0</v>
      </c>
      <c r="AI239" s="240">
        <f aca="true" t="shared" si="134" ref="AI239:AI245">SUM(AJ239:AK239)</f>
        <v>0</v>
      </c>
      <c r="AJ239" s="240">
        <f aca="true" t="shared" si="135" ref="AJ239:AJ245">W239-AF239-AG239</f>
        <v>0</v>
      </c>
      <c r="AK239" s="228"/>
      <c r="AL239" s="244"/>
      <c r="AM239" s="236">
        <f aca="true" t="shared" si="136" ref="AM239:AM245">AB239-AD239-AE239-AK239-AL239</f>
        <v>0</v>
      </c>
      <c r="AN239" s="196"/>
    </row>
    <row r="240" spans="1:40" ht="19.5" customHeight="1">
      <c r="A240" s="230"/>
      <c r="B240" s="311" t="s">
        <v>1602</v>
      </c>
      <c r="C240" s="250" t="s">
        <v>1355</v>
      </c>
      <c r="D240" s="319" t="s">
        <v>1520</v>
      </c>
      <c r="E240" s="300"/>
      <c r="F240" s="235">
        <v>845</v>
      </c>
      <c r="G240" s="236">
        <v>845</v>
      </c>
      <c r="H240" s="236">
        <v>200</v>
      </c>
      <c r="I240" s="237">
        <f>K240+M240</f>
        <v>140</v>
      </c>
      <c r="J240" s="238"/>
      <c r="K240" s="237">
        <v>140</v>
      </c>
      <c r="L240" s="237"/>
      <c r="M240" s="237"/>
      <c r="N240" s="239">
        <f aca="true" t="shared" si="137" ref="N240:N245">Q240+R240+S240</f>
        <v>133.301547</v>
      </c>
      <c r="O240" s="239"/>
      <c r="P240" s="239">
        <f aca="true" t="shared" si="138" ref="P240:P248">SUM(Q240:S240)</f>
        <v>133.301547</v>
      </c>
      <c r="Q240" s="239">
        <v>133.301547</v>
      </c>
      <c r="R240" s="239">
        <v>0</v>
      </c>
      <c r="S240" s="239">
        <v>0</v>
      </c>
      <c r="T240" s="301"/>
      <c r="U240" s="235"/>
      <c r="V240" s="240">
        <f aca="true" t="shared" si="139" ref="V240:V245">W240+X240</f>
        <v>0</v>
      </c>
      <c r="W240" s="240"/>
      <c r="X240" s="240"/>
      <c r="Y240" s="240">
        <v>140000000</v>
      </c>
      <c r="Z240" s="302"/>
      <c r="AA240" s="302">
        <v>6698000</v>
      </c>
      <c r="AB240" s="241">
        <f aca="true" t="shared" si="140" ref="AB240:AB245">Y240+Z240-AA240+X240</f>
        <v>133302000</v>
      </c>
      <c r="AC240" s="242">
        <f t="shared" si="132"/>
        <v>133301547</v>
      </c>
      <c r="AD240" s="259">
        <v>133301547</v>
      </c>
      <c r="AE240" s="302"/>
      <c r="AF240" s="302"/>
      <c r="AG240" s="240"/>
      <c r="AH240" s="240">
        <f t="shared" si="133"/>
        <v>0</v>
      </c>
      <c r="AI240" s="240">
        <f t="shared" si="134"/>
        <v>0</v>
      </c>
      <c r="AJ240" s="240">
        <f t="shared" si="135"/>
        <v>0</v>
      </c>
      <c r="AK240" s="302"/>
      <c r="AL240" s="244"/>
      <c r="AM240" s="236">
        <f t="shared" si="136"/>
        <v>453</v>
      </c>
      <c r="AN240" s="378" t="s">
        <v>1594</v>
      </c>
    </row>
    <row r="241" spans="1:40" ht="19.5" customHeight="1">
      <c r="A241" s="230"/>
      <c r="B241" s="311" t="s">
        <v>1603</v>
      </c>
      <c r="C241" s="250" t="s">
        <v>1355</v>
      </c>
      <c r="D241" s="319" t="s">
        <v>1520</v>
      </c>
      <c r="E241" s="300"/>
      <c r="F241" s="235">
        <v>860</v>
      </c>
      <c r="G241" s="236">
        <v>860</v>
      </c>
      <c r="H241" s="236">
        <v>216</v>
      </c>
      <c r="I241" s="237">
        <f>K241+M241</f>
        <v>140</v>
      </c>
      <c r="J241" s="238"/>
      <c r="K241" s="237">
        <v>140</v>
      </c>
      <c r="L241" s="237"/>
      <c r="M241" s="237"/>
      <c r="N241" s="239">
        <f t="shared" si="137"/>
        <v>134.275547</v>
      </c>
      <c r="O241" s="239"/>
      <c r="P241" s="239">
        <f t="shared" si="138"/>
        <v>134.275547</v>
      </c>
      <c r="Q241" s="239">
        <v>134.275547</v>
      </c>
      <c r="R241" s="239">
        <v>0</v>
      </c>
      <c r="S241" s="239">
        <v>0</v>
      </c>
      <c r="T241" s="301"/>
      <c r="U241" s="235"/>
      <c r="V241" s="240">
        <f t="shared" si="139"/>
        <v>0</v>
      </c>
      <c r="W241" s="240"/>
      <c r="X241" s="240"/>
      <c r="Y241" s="240">
        <v>140000000</v>
      </c>
      <c r="Z241" s="302"/>
      <c r="AA241" s="302">
        <v>5724000</v>
      </c>
      <c r="AB241" s="241">
        <f t="shared" si="140"/>
        <v>134276000</v>
      </c>
      <c r="AC241" s="242">
        <f t="shared" si="132"/>
        <v>134275547</v>
      </c>
      <c r="AD241" s="259">
        <v>134275547</v>
      </c>
      <c r="AE241" s="302"/>
      <c r="AF241" s="302"/>
      <c r="AG241" s="240"/>
      <c r="AH241" s="240">
        <f t="shared" si="133"/>
        <v>0</v>
      </c>
      <c r="AI241" s="240">
        <f t="shared" si="134"/>
        <v>0</v>
      </c>
      <c r="AJ241" s="240">
        <f t="shared" si="135"/>
        <v>0</v>
      </c>
      <c r="AK241" s="302"/>
      <c r="AL241" s="244"/>
      <c r="AM241" s="236">
        <f t="shared" si="136"/>
        <v>453</v>
      </c>
      <c r="AN241" s="378" t="s">
        <v>1594</v>
      </c>
    </row>
    <row r="242" spans="1:40" ht="19.5" customHeight="1">
      <c r="A242" s="230"/>
      <c r="B242" s="311" t="s">
        <v>1604</v>
      </c>
      <c r="C242" s="250" t="s">
        <v>1355</v>
      </c>
      <c r="D242" s="319" t="s">
        <v>1520</v>
      </c>
      <c r="E242" s="300"/>
      <c r="F242" s="235">
        <v>890</v>
      </c>
      <c r="G242" s="236">
        <v>890</v>
      </c>
      <c r="H242" s="236">
        <v>225</v>
      </c>
      <c r="I242" s="237">
        <f>K242+M242</f>
        <v>160</v>
      </c>
      <c r="J242" s="238"/>
      <c r="K242" s="237">
        <v>160</v>
      </c>
      <c r="L242" s="237"/>
      <c r="M242" s="237"/>
      <c r="N242" s="239">
        <f t="shared" si="137"/>
        <v>153.798586</v>
      </c>
      <c r="O242" s="239"/>
      <c r="P242" s="239">
        <f t="shared" si="138"/>
        <v>153.798586</v>
      </c>
      <c r="Q242" s="239">
        <v>153.798586</v>
      </c>
      <c r="R242" s="239">
        <v>0</v>
      </c>
      <c r="S242" s="239">
        <v>0</v>
      </c>
      <c r="T242" s="301"/>
      <c r="U242" s="235"/>
      <c r="V242" s="240">
        <f t="shared" si="139"/>
        <v>0</v>
      </c>
      <c r="W242" s="240"/>
      <c r="X242" s="240"/>
      <c r="Y242" s="240">
        <v>160000000</v>
      </c>
      <c r="Z242" s="302"/>
      <c r="AA242" s="302">
        <v>6201000</v>
      </c>
      <c r="AB242" s="241">
        <f t="shared" si="140"/>
        <v>153799000</v>
      </c>
      <c r="AC242" s="242">
        <f t="shared" si="132"/>
        <v>153798586</v>
      </c>
      <c r="AD242" s="259">
        <v>153798586</v>
      </c>
      <c r="AE242" s="302"/>
      <c r="AF242" s="302"/>
      <c r="AG242" s="240"/>
      <c r="AH242" s="240">
        <f t="shared" si="133"/>
        <v>0</v>
      </c>
      <c r="AI242" s="240">
        <f t="shared" si="134"/>
        <v>0</v>
      </c>
      <c r="AJ242" s="240">
        <f t="shared" si="135"/>
        <v>0</v>
      </c>
      <c r="AK242" s="302"/>
      <c r="AL242" s="244"/>
      <c r="AM242" s="236">
        <f t="shared" si="136"/>
        <v>414</v>
      </c>
      <c r="AN242" s="378" t="s">
        <v>1594</v>
      </c>
    </row>
    <row r="243" spans="1:40" ht="19.5" customHeight="1">
      <c r="A243" s="230"/>
      <c r="B243" s="311" t="s">
        <v>1605</v>
      </c>
      <c r="C243" s="250" t="s">
        <v>1355</v>
      </c>
      <c r="D243" s="319" t="s">
        <v>1520</v>
      </c>
      <c r="E243" s="300"/>
      <c r="F243" s="235">
        <v>847</v>
      </c>
      <c r="G243" s="236">
        <v>847</v>
      </c>
      <c r="H243" s="236">
        <v>222</v>
      </c>
      <c r="I243" s="237">
        <f>K243+M243</f>
        <v>120</v>
      </c>
      <c r="J243" s="238"/>
      <c r="K243" s="237">
        <v>120</v>
      </c>
      <c r="L243" s="237"/>
      <c r="M243" s="237"/>
      <c r="N243" s="239">
        <f t="shared" si="137"/>
        <v>113.821547</v>
      </c>
      <c r="O243" s="239"/>
      <c r="P243" s="239">
        <f t="shared" si="138"/>
        <v>113.821547</v>
      </c>
      <c r="Q243" s="239">
        <v>113.821547</v>
      </c>
      <c r="R243" s="239">
        <v>0</v>
      </c>
      <c r="S243" s="239">
        <v>0</v>
      </c>
      <c r="T243" s="301"/>
      <c r="U243" s="235"/>
      <c r="V243" s="240">
        <f t="shared" si="139"/>
        <v>0</v>
      </c>
      <c r="W243" s="240"/>
      <c r="X243" s="240"/>
      <c r="Y243" s="240">
        <v>120000000</v>
      </c>
      <c r="Z243" s="302"/>
      <c r="AA243" s="302">
        <v>6178000</v>
      </c>
      <c r="AB243" s="241">
        <f t="shared" si="140"/>
        <v>113822000</v>
      </c>
      <c r="AC243" s="242">
        <f t="shared" si="132"/>
        <v>113821547</v>
      </c>
      <c r="AD243" s="259">
        <v>113821547</v>
      </c>
      <c r="AE243" s="302"/>
      <c r="AF243" s="302"/>
      <c r="AG243" s="240"/>
      <c r="AH243" s="240">
        <f t="shared" si="133"/>
        <v>0</v>
      </c>
      <c r="AI243" s="240">
        <f t="shared" si="134"/>
        <v>0</v>
      </c>
      <c r="AJ243" s="240">
        <f t="shared" si="135"/>
        <v>0</v>
      </c>
      <c r="AK243" s="302"/>
      <c r="AL243" s="244"/>
      <c r="AM243" s="236">
        <f t="shared" si="136"/>
        <v>453</v>
      </c>
      <c r="AN243" s="378" t="s">
        <v>1594</v>
      </c>
    </row>
    <row r="244" spans="1:40" s="197" customFormat="1" ht="19.5" customHeight="1">
      <c r="A244" s="216"/>
      <c r="B244" s="445" t="s">
        <v>1606</v>
      </c>
      <c r="C244" s="446"/>
      <c r="D244" s="447"/>
      <c r="E244" s="448"/>
      <c r="F244" s="220"/>
      <c r="G244" s="221"/>
      <c r="H244" s="221"/>
      <c r="I244" s="282">
        <f>SUM(I245)</f>
        <v>134</v>
      </c>
      <c r="J244" s="282">
        <f aca="true" t="shared" si="141" ref="J244:U244">SUM(J245)</f>
        <v>0</v>
      </c>
      <c r="K244" s="282">
        <f t="shared" si="141"/>
        <v>134</v>
      </c>
      <c r="L244" s="282">
        <f t="shared" si="141"/>
        <v>0</v>
      </c>
      <c r="M244" s="282">
        <f t="shared" si="141"/>
        <v>0</v>
      </c>
      <c r="N244" s="282">
        <f t="shared" si="141"/>
        <v>118.690629</v>
      </c>
      <c r="O244" s="282">
        <f t="shared" si="141"/>
        <v>0</v>
      </c>
      <c r="P244" s="282">
        <f t="shared" si="141"/>
        <v>118.690629</v>
      </c>
      <c r="Q244" s="282">
        <f t="shared" si="141"/>
        <v>118.690629</v>
      </c>
      <c r="R244" s="282">
        <f t="shared" si="141"/>
        <v>0</v>
      </c>
      <c r="S244" s="282">
        <f t="shared" si="141"/>
        <v>0</v>
      </c>
      <c r="T244" s="282">
        <f t="shared" si="141"/>
        <v>0</v>
      </c>
      <c r="U244" s="282">
        <f t="shared" si="141"/>
        <v>0</v>
      </c>
      <c r="V244" s="240">
        <f t="shared" si="139"/>
        <v>0</v>
      </c>
      <c r="W244" s="240"/>
      <c r="X244" s="240"/>
      <c r="Y244" s="240"/>
      <c r="Z244" s="228"/>
      <c r="AA244" s="228"/>
      <c r="AB244" s="241">
        <f t="shared" si="140"/>
        <v>0</v>
      </c>
      <c r="AC244" s="242">
        <f t="shared" si="132"/>
        <v>0</v>
      </c>
      <c r="AD244" s="228"/>
      <c r="AE244" s="228"/>
      <c r="AF244" s="228"/>
      <c r="AG244" s="240"/>
      <c r="AH244" s="240">
        <f t="shared" si="133"/>
        <v>0</v>
      </c>
      <c r="AI244" s="240">
        <f t="shared" si="134"/>
        <v>0</v>
      </c>
      <c r="AJ244" s="240">
        <f t="shared" si="135"/>
        <v>0</v>
      </c>
      <c r="AK244" s="228"/>
      <c r="AL244" s="244"/>
      <c r="AM244" s="236">
        <f>AB244-AD244-AE244-AK244-AL244</f>
        <v>0</v>
      </c>
      <c r="AN244" s="378"/>
    </row>
    <row r="245" spans="1:40" ht="19.5" customHeight="1">
      <c r="A245" s="230"/>
      <c r="B245" s="311" t="s">
        <v>1607</v>
      </c>
      <c r="C245" s="250" t="s">
        <v>1608</v>
      </c>
      <c r="D245" s="319" t="s">
        <v>1339</v>
      </c>
      <c r="E245" s="300"/>
      <c r="F245" s="235">
        <v>1472</v>
      </c>
      <c r="G245" s="236">
        <v>1472</v>
      </c>
      <c r="H245" s="236"/>
      <c r="I245" s="237">
        <f>K245+M245</f>
        <v>134</v>
      </c>
      <c r="J245" s="238"/>
      <c r="K245" s="237">
        <v>134</v>
      </c>
      <c r="L245" s="237"/>
      <c r="M245" s="237"/>
      <c r="N245" s="239">
        <f t="shared" si="137"/>
        <v>118.690629</v>
      </c>
      <c r="O245" s="239"/>
      <c r="P245" s="239">
        <f t="shared" si="138"/>
        <v>118.690629</v>
      </c>
      <c r="Q245" s="239">
        <v>118.690629</v>
      </c>
      <c r="R245" s="239">
        <v>0</v>
      </c>
      <c r="S245" s="239">
        <v>0</v>
      </c>
      <c r="T245" s="301"/>
      <c r="U245" s="235"/>
      <c r="V245" s="240">
        <f t="shared" si="139"/>
        <v>0</v>
      </c>
      <c r="W245" s="240"/>
      <c r="X245" s="240"/>
      <c r="Y245" s="240">
        <v>134000000</v>
      </c>
      <c r="Z245" s="302"/>
      <c r="AA245" s="302">
        <v>15309000</v>
      </c>
      <c r="AB245" s="241">
        <f t="shared" si="140"/>
        <v>118691000</v>
      </c>
      <c r="AC245" s="242">
        <f t="shared" si="132"/>
        <v>118690629</v>
      </c>
      <c r="AD245" s="259">
        <v>118690629</v>
      </c>
      <c r="AE245" s="302"/>
      <c r="AF245" s="302"/>
      <c r="AG245" s="240"/>
      <c r="AH245" s="240">
        <f t="shared" si="133"/>
        <v>0</v>
      </c>
      <c r="AI245" s="240">
        <f t="shared" si="134"/>
        <v>0</v>
      </c>
      <c r="AJ245" s="240">
        <f t="shared" si="135"/>
        <v>0</v>
      </c>
      <c r="AK245" s="302"/>
      <c r="AL245" s="244"/>
      <c r="AM245" s="236">
        <f t="shared" si="136"/>
        <v>371</v>
      </c>
      <c r="AN245" s="378" t="s">
        <v>1594</v>
      </c>
    </row>
    <row r="246" spans="1:40" s="294" customFormat="1" ht="19.5" customHeight="1">
      <c r="A246" s="275" t="s">
        <v>1253</v>
      </c>
      <c r="B246" s="449" t="s">
        <v>1609</v>
      </c>
      <c r="C246" s="277"/>
      <c r="D246" s="450"/>
      <c r="E246" s="451"/>
      <c r="F246" s="452"/>
      <c r="G246" s="291"/>
      <c r="H246" s="291"/>
      <c r="I246" s="282">
        <f>SUM(I247:I248)</f>
        <v>3576</v>
      </c>
      <c r="J246" s="282"/>
      <c r="K246" s="282">
        <f aca="true" t="shared" si="142" ref="K246:S246">SUM(K247:K248)</f>
        <v>3576</v>
      </c>
      <c r="L246" s="282"/>
      <c r="M246" s="282"/>
      <c r="N246" s="282">
        <f t="shared" si="142"/>
        <v>3576</v>
      </c>
      <c r="O246" s="282">
        <f t="shared" si="142"/>
        <v>0</v>
      </c>
      <c r="P246" s="282">
        <f t="shared" si="142"/>
        <v>3576</v>
      </c>
      <c r="Q246" s="282">
        <f t="shared" si="142"/>
        <v>3576</v>
      </c>
      <c r="R246" s="282">
        <f t="shared" si="142"/>
        <v>0</v>
      </c>
      <c r="S246" s="282">
        <f t="shared" si="142"/>
        <v>0</v>
      </c>
      <c r="T246" s="282"/>
      <c r="U246" s="291"/>
      <c r="V246" s="292">
        <f>SUM(V247:V248)</f>
        <v>0</v>
      </c>
      <c r="W246" s="292">
        <f aca="true" t="shared" si="143" ref="W246:AK246">SUM(W247:W248)</f>
        <v>0</v>
      </c>
      <c r="X246" s="292">
        <f t="shared" si="143"/>
        <v>0</v>
      </c>
      <c r="Y246" s="292">
        <f t="shared" si="143"/>
        <v>3576000000</v>
      </c>
      <c r="Z246" s="292">
        <f t="shared" si="143"/>
        <v>0</v>
      </c>
      <c r="AA246" s="292">
        <f t="shared" si="143"/>
        <v>0</v>
      </c>
      <c r="AB246" s="292">
        <f t="shared" si="143"/>
        <v>3576000000</v>
      </c>
      <c r="AC246" s="292">
        <f t="shared" si="143"/>
        <v>3576000000</v>
      </c>
      <c r="AD246" s="292">
        <f t="shared" si="143"/>
        <v>3576000000</v>
      </c>
      <c r="AE246" s="292">
        <f t="shared" si="143"/>
        <v>0</v>
      </c>
      <c r="AF246" s="292">
        <f t="shared" si="143"/>
        <v>0</v>
      </c>
      <c r="AG246" s="292">
        <f t="shared" si="143"/>
        <v>0</v>
      </c>
      <c r="AH246" s="292">
        <f t="shared" si="143"/>
        <v>0</v>
      </c>
      <c r="AI246" s="292">
        <f t="shared" si="143"/>
        <v>0</v>
      </c>
      <c r="AJ246" s="292">
        <f t="shared" si="143"/>
        <v>0</v>
      </c>
      <c r="AK246" s="292">
        <f t="shared" si="143"/>
        <v>0</v>
      </c>
      <c r="AL246" s="291">
        <f>SUM(AL247:AL248)</f>
        <v>0</v>
      </c>
      <c r="AM246" s="236">
        <f>AB246-AD246-AE246-AK246-AL246</f>
        <v>0</v>
      </c>
      <c r="AN246" s="298"/>
    </row>
    <row r="247" spans="1:40" ht="19.5" customHeight="1">
      <c r="A247" s="230"/>
      <c r="B247" s="453" t="s">
        <v>1610</v>
      </c>
      <c r="C247" s="250" t="s">
        <v>1611</v>
      </c>
      <c r="D247" s="319"/>
      <c r="E247" s="300"/>
      <c r="F247" s="454">
        <v>172898.022</v>
      </c>
      <c r="G247" s="236"/>
      <c r="H247" s="236"/>
      <c r="I247" s="237">
        <f>K247+M247</f>
        <v>2526</v>
      </c>
      <c r="J247" s="238"/>
      <c r="K247" s="237">
        <v>2526</v>
      </c>
      <c r="L247" s="237"/>
      <c r="M247" s="237"/>
      <c r="N247" s="239">
        <f>Q247+R247+S247</f>
        <v>2526</v>
      </c>
      <c r="O247" s="239"/>
      <c r="P247" s="239">
        <f t="shared" si="138"/>
        <v>2526</v>
      </c>
      <c r="Q247" s="239">
        <v>2526</v>
      </c>
      <c r="R247" s="239">
        <v>0</v>
      </c>
      <c r="S247" s="239">
        <v>0</v>
      </c>
      <c r="T247" s="301"/>
      <c r="U247" s="235"/>
      <c r="V247" s="240">
        <f>W247+X247</f>
        <v>0</v>
      </c>
      <c r="W247" s="240"/>
      <c r="X247" s="240"/>
      <c r="Y247" s="240">
        <v>2526000000</v>
      </c>
      <c r="Z247" s="302"/>
      <c r="AA247" s="302"/>
      <c r="AB247" s="241">
        <f>Y247+Z247-AA247+X247</f>
        <v>2526000000</v>
      </c>
      <c r="AC247" s="242">
        <f>AD247+AE247+AF247</f>
        <v>2526000000</v>
      </c>
      <c r="AD247" s="312">
        <v>2526000000</v>
      </c>
      <c r="AE247" s="302"/>
      <c r="AF247" s="302"/>
      <c r="AG247" s="240"/>
      <c r="AH247" s="240">
        <f>AI247+AL247</f>
        <v>0</v>
      </c>
      <c r="AI247" s="240">
        <f>SUM(AJ247:AK247)</f>
        <v>0</v>
      </c>
      <c r="AJ247" s="240">
        <f>W247-AF247-AG247</f>
        <v>0</v>
      </c>
      <c r="AK247" s="302"/>
      <c r="AL247" s="244"/>
      <c r="AM247" s="236">
        <f>AB247-AD247-AE247-AK247-AL247</f>
        <v>0</v>
      </c>
      <c r="AN247" s="185" t="s">
        <v>1429</v>
      </c>
    </row>
    <row r="248" spans="1:41" ht="30" customHeight="1">
      <c r="A248" s="230"/>
      <c r="B248" s="311" t="s">
        <v>1612</v>
      </c>
      <c r="C248" s="250" t="s">
        <v>1341</v>
      </c>
      <c r="D248" s="319" t="s">
        <v>1339</v>
      </c>
      <c r="E248" s="300"/>
      <c r="F248" s="235">
        <v>2100</v>
      </c>
      <c r="G248" s="236">
        <v>1050</v>
      </c>
      <c r="H248" s="236">
        <v>1050</v>
      </c>
      <c r="I248" s="237">
        <f>K248+M248</f>
        <v>1050</v>
      </c>
      <c r="J248" s="238"/>
      <c r="K248" s="237">
        <v>1050</v>
      </c>
      <c r="L248" s="237"/>
      <c r="M248" s="237"/>
      <c r="N248" s="239">
        <f>Q248+R248+S248</f>
        <v>1050</v>
      </c>
      <c r="O248" s="239"/>
      <c r="P248" s="239">
        <f t="shared" si="138"/>
        <v>1050</v>
      </c>
      <c r="Q248" s="239">
        <v>1050</v>
      </c>
      <c r="R248" s="239">
        <v>0</v>
      </c>
      <c r="S248" s="239">
        <v>0</v>
      </c>
      <c r="T248" s="301"/>
      <c r="U248" s="235"/>
      <c r="V248" s="240">
        <f>W248+X248</f>
        <v>0</v>
      </c>
      <c r="W248" s="240"/>
      <c r="X248" s="240"/>
      <c r="Y248" s="240">
        <v>1050000000</v>
      </c>
      <c r="Z248" s="302"/>
      <c r="AA248" s="302"/>
      <c r="AB248" s="241">
        <f>Y248+Z248-AA248+X248</f>
        <v>1050000000</v>
      </c>
      <c r="AC248" s="242">
        <f>AD248+AE248+AF248</f>
        <v>1050000000</v>
      </c>
      <c r="AD248" s="240">
        <v>1050000000</v>
      </c>
      <c r="AE248" s="302"/>
      <c r="AF248" s="302"/>
      <c r="AG248" s="240"/>
      <c r="AH248" s="240">
        <f>AI248+AL248</f>
        <v>0</v>
      </c>
      <c r="AI248" s="240">
        <f>SUM(AJ248:AK248)</f>
        <v>0</v>
      </c>
      <c r="AJ248" s="240">
        <f>W248-AF248-AG248</f>
        <v>0</v>
      </c>
      <c r="AK248" s="302"/>
      <c r="AL248" s="244"/>
      <c r="AM248" s="236">
        <f>AB248-AD248-AE248-AK248-AL248</f>
        <v>0</v>
      </c>
      <c r="AN248" s="185" t="s">
        <v>1613</v>
      </c>
      <c r="AO248" s="186" t="s">
        <v>1614</v>
      </c>
    </row>
    <row r="249" spans="1:40" s="294" customFormat="1" ht="19.5" customHeight="1">
      <c r="A249" s="275" t="s">
        <v>1253</v>
      </c>
      <c r="B249" s="385" t="s">
        <v>1615</v>
      </c>
      <c r="C249" s="277" t="s">
        <v>1404</v>
      </c>
      <c r="D249" s="450" t="s">
        <v>1616</v>
      </c>
      <c r="E249" s="451"/>
      <c r="F249" s="290">
        <v>110365</v>
      </c>
      <c r="G249" s="291">
        <v>17589</v>
      </c>
      <c r="H249" s="291">
        <v>17589</v>
      </c>
      <c r="I249" s="282">
        <f>K249+M249</f>
        <v>1000</v>
      </c>
      <c r="J249" s="282"/>
      <c r="K249" s="282">
        <v>1000</v>
      </c>
      <c r="L249" s="282"/>
      <c r="M249" s="282"/>
      <c r="N249" s="296">
        <f>Q249+R249+S249</f>
        <v>964.2687</v>
      </c>
      <c r="O249" s="282"/>
      <c r="P249" s="282">
        <f>SUM(Q249:S249)</f>
        <v>964.2687</v>
      </c>
      <c r="Q249" s="296">
        <v>964.2687</v>
      </c>
      <c r="R249" s="296">
        <v>0</v>
      </c>
      <c r="S249" s="296">
        <v>0</v>
      </c>
      <c r="T249" s="282"/>
      <c r="U249" s="291"/>
      <c r="V249" s="292"/>
      <c r="W249" s="292"/>
      <c r="X249" s="292"/>
      <c r="Y249" s="292">
        <v>1000000000</v>
      </c>
      <c r="Z249" s="292"/>
      <c r="AA249" s="292"/>
      <c r="AB249" s="292">
        <f>Y249+Z249-AA249+X249</f>
        <v>1000000000</v>
      </c>
      <c r="AC249" s="292">
        <v>964268700</v>
      </c>
      <c r="AD249" s="292">
        <v>964268700</v>
      </c>
      <c r="AE249" s="292"/>
      <c r="AF249" s="292"/>
      <c r="AG249" s="292"/>
      <c r="AH249" s="292">
        <f>AI249+AL249</f>
        <v>35731300</v>
      </c>
      <c r="AI249" s="292">
        <f>SUM(AJ249:AK249)</f>
        <v>0</v>
      </c>
      <c r="AJ249" s="292">
        <f>W249-AF249-AG249</f>
        <v>0</v>
      </c>
      <c r="AK249" s="292"/>
      <c r="AL249" s="291">
        <v>35731300</v>
      </c>
      <c r="AM249" s="291">
        <f>AB249-AD249-AE249-AK249-AL249</f>
        <v>0</v>
      </c>
      <c r="AN249" s="298"/>
    </row>
    <row r="250" spans="1:40" s="197" customFormat="1" ht="19.5" customHeight="1">
      <c r="A250" s="216" t="s">
        <v>1253</v>
      </c>
      <c r="B250" s="445" t="s">
        <v>1617</v>
      </c>
      <c r="C250" s="446"/>
      <c r="D250" s="447"/>
      <c r="E250" s="448"/>
      <c r="F250" s="220"/>
      <c r="G250" s="221"/>
      <c r="H250" s="221"/>
      <c r="I250" s="222">
        <f>SUM(I251:I252)</f>
        <v>900</v>
      </c>
      <c r="J250" s="222"/>
      <c r="K250" s="222">
        <f aca="true" t="shared" si="144" ref="K250:S250">SUM(K251:K252)</f>
        <v>900</v>
      </c>
      <c r="L250" s="222"/>
      <c r="M250" s="222"/>
      <c r="N250" s="222">
        <f t="shared" si="144"/>
        <v>847.0409999999999</v>
      </c>
      <c r="O250" s="222"/>
      <c r="P250" s="282">
        <f>SUM(Q250:S250)</f>
        <v>847.0409999999999</v>
      </c>
      <c r="Q250" s="222">
        <f t="shared" si="144"/>
        <v>847.0409999999999</v>
      </c>
      <c r="R250" s="222">
        <f t="shared" si="144"/>
        <v>0</v>
      </c>
      <c r="S250" s="222">
        <f t="shared" si="144"/>
        <v>0</v>
      </c>
      <c r="T250" s="222"/>
      <c r="U250" s="221"/>
      <c r="V250" s="223">
        <f aca="true" t="shared" si="145" ref="V250:AH250">SUM(V251:V252)</f>
        <v>0</v>
      </c>
      <c r="W250" s="223">
        <f t="shared" si="145"/>
        <v>0</v>
      </c>
      <c r="X250" s="223">
        <f t="shared" si="145"/>
        <v>0</v>
      </c>
      <c r="Y250" s="223">
        <f t="shared" si="145"/>
        <v>900000000</v>
      </c>
      <c r="Z250" s="223">
        <f>SUM(Z251:Z252)</f>
        <v>0</v>
      </c>
      <c r="AA250" s="223">
        <f>SUM(AA251:AA252)</f>
        <v>52959000</v>
      </c>
      <c r="AB250" s="223">
        <f>SUM(AB251:AB252)</f>
        <v>847041000</v>
      </c>
      <c r="AC250" s="223">
        <f t="shared" si="145"/>
        <v>847041000</v>
      </c>
      <c r="AD250" s="223">
        <f t="shared" si="145"/>
        <v>847041000</v>
      </c>
      <c r="AE250" s="223">
        <f t="shared" si="145"/>
        <v>0</v>
      </c>
      <c r="AF250" s="223">
        <f t="shared" si="145"/>
        <v>0</v>
      </c>
      <c r="AG250" s="223">
        <f t="shared" si="145"/>
        <v>0</v>
      </c>
      <c r="AH250" s="223">
        <f t="shared" si="145"/>
        <v>0</v>
      </c>
      <c r="AI250" s="223">
        <f>SUM(AI251:AI252)</f>
        <v>0</v>
      </c>
      <c r="AJ250" s="223">
        <f>SUM(AJ251:AJ252)</f>
        <v>0</v>
      </c>
      <c r="AK250" s="223">
        <f>SUM(AK251:AK252)</f>
        <v>0</v>
      </c>
      <c r="AL250" s="221"/>
      <c r="AM250" s="221">
        <f>SUM(AM251:AM252)</f>
        <v>0</v>
      </c>
      <c r="AN250" s="378" t="s">
        <v>1594</v>
      </c>
    </row>
    <row r="251" spans="1:40" ht="19.5" customHeight="1">
      <c r="A251" s="230"/>
      <c r="B251" s="311" t="s">
        <v>1618</v>
      </c>
      <c r="C251" s="250" t="s">
        <v>1404</v>
      </c>
      <c r="D251" s="319" t="s">
        <v>1619</v>
      </c>
      <c r="E251" s="300"/>
      <c r="F251" s="235">
        <v>1200</v>
      </c>
      <c r="G251" s="236">
        <v>1200</v>
      </c>
      <c r="H251" s="236">
        <v>1000</v>
      </c>
      <c r="I251" s="237">
        <f>K251+M251</f>
        <v>200</v>
      </c>
      <c r="J251" s="238"/>
      <c r="K251" s="237">
        <v>200</v>
      </c>
      <c r="L251" s="237"/>
      <c r="M251" s="237"/>
      <c r="N251" s="239">
        <f>Q251+R251+S251</f>
        <v>147.041</v>
      </c>
      <c r="O251" s="239"/>
      <c r="P251" s="237">
        <f>SUM(Q251:S251)</f>
        <v>147.041</v>
      </c>
      <c r="Q251" s="239">
        <v>147.041</v>
      </c>
      <c r="R251" s="239">
        <v>0</v>
      </c>
      <c r="S251" s="239">
        <v>0</v>
      </c>
      <c r="T251" s="301"/>
      <c r="U251" s="235"/>
      <c r="V251" s="240">
        <f>W251+X251</f>
        <v>0</v>
      </c>
      <c r="W251" s="240"/>
      <c r="X251" s="240"/>
      <c r="Y251" s="240">
        <v>200000000</v>
      </c>
      <c r="Z251" s="302"/>
      <c r="AA251" s="302">
        <v>52959000</v>
      </c>
      <c r="AB251" s="241">
        <f>Y251+Z251-AA251+X251</f>
        <v>147041000</v>
      </c>
      <c r="AC251" s="242">
        <f>AD251+AE251+AF251</f>
        <v>147041000</v>
      </c>
      <c r="AD251" s="259">
        <v>147041000</v>
      </c>
      <c r="AE251" s="302"/>
      <c r="AF251" s="302"/>
      <c r="AG251" s="240"/>
      <c r="AH251" s="240">
        <f>AI251+AL251</f>
        <v>0</v>
      </c>
      <c r="AI251" s="240">
        <f>SUM(AJ251:AK251)</f>
        <v>0</v>
      </c>
      <c r="AJ251" s="240">
        <f>W251-AF251-AG251</f>
        <v>0</v>
      </c>
      <c r="AK251" s="302"/>
      <c r="AL251" s="244"/>
      <c r="AM251" s="236">
        <f>AB251-AD251-AE251-AK251-AL251</f>
        <v>0</v>
      </c>
      <c r="AN251" s="378" t="s">
        <v>1594</v>
      </c>
    </row>
    <row r="252" spans="1:40" s="414" customFormat="1" ht="19.5" customHeight="1">
      <c r="A252" s="230"/>
      <c r="B252" s="231" t="s">
        <v>1620</v>
      </c>
      <c r="C252" s="232" t="s">
        <v>1379</v>
      </c>
      <c r="D252" s="233" t="s">
        <v>1369</v>
      </c>
      <c r="E252" s="234" t="s">
        <v>1621</v>
      </c>
      <c r="F252" s="235">
        <v>51155</v>
      </c>
      <c r="G252" s="236">
        <v>58690</v>
      </c>
      <c r="H252" s="236">
        <v>50830</v>
      </c>
      <c r="I252" s="237">
        <f>K252+M252</f>
        <v>700</v>
      </c>
      <c r="J252" s="238"/>
      <c r="K252" s="237">
        <v>700</v>
      </c>
      <c r="L252" s="237"/>
      <c r="M252" s="237"/>
      <c r="N252" s="239">
        <f>Q252+R252+S252</f>
        <v>700</v>
      </c>
      <c r="O252" s="239"/>
      <c r="P252" s="237">
        <f>SUM(Q252:S252)</f>
        <v>700</v>
      </c>
      <c r="Q252" s="239">
        <v>700</v>
      </c>
      <c r="R252" s="239">
        <v>0</v>
      </c>
      <c r="S252" s="239">
        <v>0</v>
      </c>
      <c r="T252" s="301"/>
      <c r="U252" s="235"/>
      <c r="V252" s="240">
        <f>W252+X252</f>
        <v>0</v>
      </c>
      <c r="W252" s="240"/>
      <c r="X252" s="240"/>
      <c r="Y252" s="240">
        <v>700000000</v>
      </c>
      <c r="Z252" s="302"/>
      <c r="AA252" s="302"/>
      <c r="AB252" s="241">
        <f>Y252+Z252-AA252+X252</f>
        <v>700000000</v>
      </c>
      <c r="AC252" s="242">
        <f>AD252+AE252+AF252</f>
        <v>700000000</v>
      </c>
      <c r="AD252" s="259">
        <v>700000000</v>
      </c>
      <c r="AE252" s="302"/>
      <c r="AF252" s="302"/>
      <c r="AG252" s="240"/>
      <c r="AH252" s="240">
        <f>AI252+AL252</f>
        <v>0</v>
      </c>
      <c r="AI252" s="240">
        <f>SUM(AJ252:AK252)</f>
        <v>0</v>
      </c>
      <c r="AJ252" s="240">
        <f>W252-AF252-AG252</f>
        <v>0</v>
      </c>
      <c r="AK252" s="302"/>
      <c r="AL252" s="244"/>
      <c r="AM252" s="236">
        <f>AB252-AD252-AE252-AK252-AL252</f>
        <v>0</v>
      </c>
      <c r="AN252" s="378" t="s">
        <v>1594</v>
      </c>
    </row>
    <row r="253" spans="1:40" s="414" customFormat="1" ht="19.5" customHeight="1">
      <c r="A253" s="275" t="s">
        <v>1253</v>
      </c>
      <c r="B253" s="287" t="s">
        <v>1622</v>
      </c>
      <c r="C253" s="288"/>
      <c r="D253" s="455"/>
      <c r="E253" s="289"/>
      <c r="F253" s="290"/>
      <c r="G253" s="291"/>
      <c r="H253" s="291"/>
      <c r="I253" s="282">
        <f>SUM(I254:I257)</f>
        <v>1047</v>
      </c>
      <c r="J253" s="282">
        <f aca="true" t="shared" si="146" ref="J253:U253">SUM(J254:J257)</f>
        <v>0</v>
      </c>
      <c r="K253" s="282">
        <f t="shared" si="146"/>
        <v>1047</v>
      </c>
      <c r="L253" s="282">
        <f t="shared" si="146"/>
        <v>0</v>
      </c>
      <c r="M253" s="282">
        <f t="shared" si="146"/>
        <v>0</v>
      </c>
      <c r="N253" s="282">
        <f t="shared" si="146"/>
        <v>1022.09</v>
      </c>
      <c r="O253" s="282">
        <f t="shared" si="146"/>
        <v>0</v>
      </c>
      <c r="P253" s="282">
        <f t="shared" si="146"/>
        <v>1022.09</v>
      </c>
      <c r="Q253" s="282">
        <f t="shared" si="146"/>
        <v>0</v>
      </c>
      <c r="R253" s="282">
        <f t="shared" si="146"/>
        <v>0</v>
      </c>
      <c r="S253" s="282">
        <f t="shared" si="146"/>
        <v>0</v>
      </c>
      <c r="T253" s="282">
        <f t="shared" si="146"/>
        <v>0</v>
      </c>
      <c r="U253" s="282">
        <f t="shared" si="146"/>
        <v>0</v>
      </c>
      <c r="V253" s="240"/>
      <c r="W253" s="240"/>
      <c r="X253" s="240"/>
      <c r="Y253" s="240"/>
      <c r="Z253" s="302"/>
      <c r="AA253" s="302"/>
      <c r="AB253" s="241"/>
      <c r="AC253" s="242"/>
      <c r="AD253" s="259"/>
      <c r="AE253" s="302"/>
      <c r="AF253" s="302"/>
      <c r="AG253" s="240"/>
      <c r="AH253" s="240"/>
      <c r="AI253" s="240"/>
      <c r="AJ253" s="240"/>
      <c r="AK253" s="302"/>
      <c r="AL253" s="244"/>
      <c r="AM253" s="236"/>
      <c r="AN253" s="378"/>
    </row>
    <row r="254" spans="1:40" s="414" customFormat="1" ht="19.5" customHeight="1">
      <c r="A254" s="230"/>
      <c r="B254" s="231" t="s">
        <v>1623</v>
      </c>
      <c r="C254" s="232" t="s">
        <v>1397</v>
      </c>
      <c r="D254" s="233"/>
      <c r="E254" s="234"/>
      <c r="F254" s="235"/>
      <c r="G254" s="236"/>
      <c r="H254" s="236"/>
      <c r="I254" s="237">
        <f>SUM(K254,M254)</f>
        <v>173.52</v>
      </c>
      <c r="J254" s="238"/>
      <c r="K254" s="237">
        <v>173.52</v>
      </c>
      <c r="L254" s="237"/>
      <c r="M254" s="237"/>
      <c r="N254" s="239">
        <f>SUM(P254,U254)</f>
        <v>173.51</v>
      </c>
      <c r="O254" s="239"/>
      <c r="P254" s="237">
        <v>173.51</v>
      </c>
      <c r="Q254" s="239"/>
      <c r="R254" s="239"/>
      <c r="S254" s="239"/>
      <c r="T254" s="301"/>
      <c r="U254" s="235"/>
      <c r="V254" s="240"/>
      <c r="W254" s="240"/>
      <c r="X254" s="240"/>
      <c r="Y254" s="240"/>
      <c r="Z254" s="302"/>
      <c r="AA254" s="302"/>
      <c r="AB254" s="241"/>
      <c r="AC254" s="242"/>
      <c r="AD254" s="259"/>
      <c r="AE254" s="302"/>
      <c r="AF254" s="302"/>
      <c r="AG254" s="240"/>
      <c r="AH254" s="240"/>
      <c r="AI254" s="240"/>
      <c r="AJ254" s="240"/>
      <c r="AK254" s="302"/>
      <c r="AL254" s="244"/>
      <c r="AM254" s="236"/>
      <c r="AN254" s="378"/>
    </row>
    <row r="255" spans="1:40" s="414" customFormat="1" ht="19.5" customHeight="1">
      <c r="A255" s="230"/>
      <c r="B255" s="231" t="s">
        <v>1623</v>
      </c>
      <c r="C255" s="232" t="s">
        <v>1624</v>
      </c>
      <c r="D255" s="233"/>
      <c r="E255" s="234"/>
      <c r="F255" s="235"/>
      <c r="G255" s="236"/>
      <c r="H255" s="236"/>
      <c r="I255" s="237">
        <f>SUM(K255,M255)</f>
        <v>222.45</v>
      </c>
      <c r="J255" s="238"/>
      <c r="K255" s="237">
        <v>222.45</v>
      </c>
      <c r="L255" s="237"/>
      <c r="M255" s="237"/>
      <c r="N255" s="239">
        <f>SUM(P255,U255)</f>
        <v>222.43</v>
      </c>
      <c r="O255" s="239"/>
      <c r="P255" s="237">
        <v>222.43</v>
      </c>
      <c r="Q255" s="239"/>
      <c r="R255" s="239"/>
      <c r="S255" s="239"/>
      <c r="T255" s="301"/>
      <c r="U255" s="235"/>
      <c r="V255" s="240"/>
      <c r="W255" s="240"/>
      <c r="X255" s="240"/>
      <c r="Y255" s="240"/>
      <c r="Z255" s="302"/>
      <c r="AA255" s="302"/>
      <c r="AB255" s="241"/>
      <c r="AC255" s="242"/>
      <c r="AD255" s="259"/>
      <c r="AE255" s="302"/>
      <c r="AF255" s="302"/>
      <c r="AG255" s="240"/>
      <c r="AH255" s="240"/>
      <c r="AI255" s="240"/>
      <c r="AJ255" s="240"/>
      <c r="AK255" s="302"/>
      <c r="AL255" s="244"/>
      <c r="AM255" s="236"/>
      <c r="AN255" s="378"/>
    </row>
    <row r="256" spans="1:40" s="414" customFormat="1" ht="19.5" customHeight="1">
      <c r="A256" s="230"/>
      <c r="B256" s="231" t="s">
        <v>1623</v>
      </c>
      <c r="C256" s="232" t="s">
        <v>1353</v>
      </c>
      <c r="D256" s="233"/>
      <c r="E256" s="234"/>
      <c r="F256" s="235"/>
      <c r="G256" s="236"/>
      <c r="H256" s="236"/>
      <c r="I256" s="237">
        <f>SUM(K256,M256)</f>
        <v>290.33</v>
      </c>
      <c r="J256" s="238"/>
      <c r="K256" s="237">
        <v>290.33</v>
      </c>
      <c r="L256" s="237"/>
      <c r="M256" s="237"/>
      <c r="N256" s="239">
        <f>SUM(P256,U256)</f>
        <v>265.79</v>
      </c>
      <c r="O256" s="239"/>
      <c r="P256" s="237">
        <v>265.79</v>
      </c>
      <c r="Q256" s="239"/>
      <c r="R256" s="239"/>
      <c r="S256" s="239"/>
      <c r="T256" s="301"/>
      <c r="U256" s="235"/>
      <c r="V256" s="240"/>
      <c r="W256" s="240"/>
      <c r="X256" s="240"/>
      <c r="Y256" s="240"/>
      <c r="Z256" s="302"/>
      <c r="AA256" s="302"/>
      <c r="AB256" s="241"/>
      <c r="AC256" s="242"/>
      <c r="AD256" s="259"/>
      <c r="AE256" s="302"/>
      <c r="AF256" s="302"/>
      <c r="AG256" s="240"/>
      <c r="AH256" s="240"/>
      <c r="AI256" s="240"/>
      <c r="AJ256" s="240"/>
      <c r="AK256" s="302"/>
      <c r="AL256" s="244"/>
      <c r="AM256" s="236"/>
      <c r="AN256" s="378"/>
    </row>
    <row r="257" spans="1:40" s="414" customFormat="1" ht="19.5" customHeight="1">
      <c r="A257" s="230"/>
      <c r="B257" s="231" t="s">
        <v>1623</v>
      </c>
      <c r="C257" s="232" t="s">
        <v>1355</v>
      </c>
      <c r="D257" s="233"/>
      <c r="E257" s="234"/>
      <c r="F257" s="235"/>
      <c r="G257" s="236"/>
      <c r="H257" s="236"/>
      <c r="I257" s="237">
        <f>SUM(K257,M257)</f>
        <v>360.7</v>
      </c>
      <c r="J257" s="238"/>
      <c r="K257" s="237">
        <v>360.7</v>
      </c>
      <c r="L257" s="237"/>
      <c r="M257" s="237"/>
      <c r="N257" s="239">
        <f>SUM(P257,U257)</f>
        <v>360.36</v>
      </c>
      <c r="O257" s="239"/>
      <c r="P257" s="237">
        <v>360.36</v>
      </c>
      <c r="Q257" s="239"/>
      <c r="R257" s="239"/>
      <c r="S257" s="239"/>
      <c r="T257" s="301"/>
      <c r="U257" s="235"/>
      <c r="V257" s="240"/>
      <c r="W257" s="240"/>
      <c r="X257" s="240"/>
      <c r="Y257" s="240"/>
      <c r="Z257" s="302"/>
      <c r="AA257" s="302"/>
      <c r="AB257" s="241"/>
      <c r="AC257" s="242"/>
      <c r="AD257" s="259"/>
      <c r="AE257" s="302"/>
      <c r="AF257" s="302"/>
      <c r="AG257" s="240"/>
      <c r="AH257" s="240"/>
      <c r="AI257" s="240"/>
      <c r="AJ257" s="240"/>
      <c r="AK257" s="302"/>
      <c r="AL257" s="244"/>
      <c r="AM257" s="236"/>
      <c r="AN257" s="378"/>
    </row>
    <row r="258" spans="1:40" s="414" customFormat="1" ht="19.5" customHeight="1">
      <c r="A258" s="275" t="s">
        <v>1012</v>
      </c>
      <c r="B258" s="287" t="s">
        <v>1625</v>
      </c>
      <c r="C258" s="288"/>
      <c r="D258" s="455"/>
      <c r="E258" s="289"/>
      <c r="F258" s="290"/>
      <c r="G258" s="291"/>
      <c r="H258" s="291"/>
      <c r="I258" s="282">
        <f>SUM(I259,I266)</f>
        <v>107458</v>
      </c>
      <c r="J258" s="282">
        <f aca="true" t="shared" si="147" ref="J258:U258">SUM(J259,J266)</f>
        <v>0</v>
      </c>
      <c r="K258" s="282">
        <f t="shared" si="147"/>
        <v>107458</v>
      </c>
      <c r="L258" s="282">
        <f t="shared" si="147"/>
        <v>0</v>
      </c>
      <c r="M258" s="282">
        <f t="shared" si="147"/>
        <v>0</v>
      </c>
      <c r="N258" s="282">
        <f t="shared" si="147"/>
        <v>95882.60656100001</v>
      </c>
      <c r="O258" s="282">
        <f t="shared" si="147"/>
        <v>0</v>
      </c>
      <c r="P258" s="282">
        <f t="shared" si="147"/>
        <v>95882.60656100001</v>
      </c>
      <c r="Q258" s="282">
        <f t="shared" si="147"/>
        <v>20427.015</v>
      </c>
      <c r="R258" s="282">
        <f t="shared" si="147"/>
        <v>38581.37</v>
      </c>
      <c r="S258" s="282">
        <f t="shared" si="147"/>
        <v>36874.221561</v>
      </c>
      <c r="T258" s="282">
        <f t="shared" si="147"/>
        <v>0</v>
      </c>
      <c r="U258" s="282">
        <f t="shared" si="147"/>
        <v>0</v>
      </c>
      <c r="V258" s="240"/>
      <c r="W258" s="240"/>
      <c r="X258" s="240"/>
      <c r="Y258" s="240"/>
      <c r="Z258" s="302"/>
      <c r="AA258" s="302"/>
      <c r="AB258" s="241"/>
      <c r="AC258" s="242"/>
      <c r="AD258" s="259"/>
      <c r="AE258" s="302"/>
      <c r="AF258" s="302"/>
      <c r="AG258" s="240"/>
      <c r="AH258" s="240"/>
      <c r="AI258" s="240"/>
      <c r="AJ258" s="240"/>
      <c r="AK258" s="302"/>
      <c r="AL258" s="244"/>
      <c r="AM258" s="236"/>
      <c r="AN258" s="378"/>
    </row>
    <row r="259" spans="1:40" s="321" customFormat="1" ht="19.5" customHeight="1">
      <c r="A259" s="216">
        <v>1</v>
      </c>
      <c r="B259" s="217" t="s">
        <v>1626</v>
      </c>
      <c r="C259" s="218"/>
      <c r="D259" s="456"/>
      <c r="E259" s="219"/>
      <c r="F259" s="220"/>
      <c r="G259" s="221"/>
      <c r="H259" s="221"/>
      <c r="I259" s="223">
        <f>SUM(I260)</f>
        <v>107458</v>
      </c>
      <c r="J259" s="223">
        <f aca="true" t="shared" si="148" ref="J259:U259">SUM(J260)</f>
        <v>0</v>
      </c>
      <c r="K259" s="223">
        <f t="shared" si="148"/>
        <v>107458</v>
      </c>
      <c r="L259" s="222">
        <f t="shared" si="148"/>
        <v>0</v>
      </c>
      <c r="M259" s="222">
        <f t="shared" si="148"/>
        <v>0</v>
      </c>
      <c r="N259" s="222">
        <f t="shared" si="148"/>
        <v>94424.035</v>
      </c>
      <c r="O259" s="222">
        <f t="shared" si="148"/>
        <v>0</v>
      </c>
      <c r="P259" s="222">
        <f t="shared" si="148"/>
        <v>94424.035</v>
      </c>
      <c r="Q259" s="222">
        <f t="shared" si="148"/>
        <v>20427.015</v>
      </c>
      <c r="R259" s="222">
        <f t="shared" si="148"/>
        <v>38581.37</v>
      </c>
      <c r="S259" s="222">
        <f t="shared" si="148"/>
        <v>35415.65</v>
      </c>
      <c r="T259" s="222">
        <f t="shared" si="148"/>
        <v>0</v>
      </c>
      <c r="U259" s="222">
        <f t="shared" si="148"/>
        <v>0</v>
      </c>
      <c r="V259" s="223">
        <f aca="true" t="shared" si="149" ref="V259:AK259">SUM(V260:V265)</f>
        <v>74032645103</v>
      </c>
      <c r="W259" s="223">
        <f t="shared" si="149"/>
        <v>35419342809</v>
      </c>
      <c r="X259" s="223">
        <f t="shared" si="149"/>
        <v>38613302294</v>
      </c>
      <c r="Y259" s="223">
        <f t="shared" si="149"/>
        <v>27458000000</v>
      </c>
      <c r="Z259" s="223">
        <f t="shared" si="149"/>
        <v>462244000</v>
      </c>
      <c r="AA259" s="223">
        <f t="shared" si="149"/>
        <v>394221000</v>
      </c>
      <c r="AB259" s="223">
        <f t="shared" si="149"/>
        <v>66139325294</v>
      </c>
      <c r="AC259" s="223">
        <f t="shared" si="149"/>
        <v>94424044504</v>
      </c>
      <c r="AD259" s="223">
        <f t="shared" si="149"/>
        <v>20427020000</v>
      </c>
      <c r="AE259" s="223">
        <f t="shared" si="149"/>
        <v>38581373595</v>
      </c>
      <c r="AF259" s="223">
        <f t="shared" si="149"/>
        <v>35415650909</v>
      </c>
      <c r="AG259" s="223">
        <f t="shared" si="149"/>
        <v>0</v>
      </c>
      <c r="AH259" s="223">
        <f t="shared" si="149"/>
        <v>7134623599</v>
      </c>
      <c r="AI259" s="223">
        <f t="shared" si="149"/>
        <v>2577649510</v>
      </c>
      <c r="AJ259" s="223">
        <f t="shared" si="149"/>
        <v>3691900</v>
      </c>
      <c r="AK259" s="223">
        <f t="shared" si="149"/>
        <v>2573957610</v>
      </c>
      <c r="AL259" s="221"/>
      <c r="AM259" s="221">
        <f>SUM(AM260:AM265)</f>
        <v>0</v>
      </c>
      <c r="AN259" s="224"/>
    </row>
    <row r="260" spans="1:40" s="321" customFormat="1" ht="19.5" customHeight="1">
      <c r="A260" s="216"/>
      <c r="B260" s="217" t="s">
        <v>1254</v>
      </c>
      <c r="C260" s="218"/>
      <c r="D260" s="456"/>
      <c r="E260" s="219"/>
      <c r="F260" s="220"/>
      <c r="G260" s="221"/>
      <c r="H260" s="221"/>
      <c r="I260" s="240">
        <f aca="true" t="shared" si="150" ref="I260:U260">SUM(I261:I265)</f>
        <v>107458</v>
      </c>
      <c r="J260" s="240">
        <f t="shared" si="150"/>
        <v>0</v>
      </c>
      <c r="K260" s="240">
        <f t="shared" si="150"/>
        <v>107458</v>
      </c>
      <c r="L260" s="237">
        <f t="shared" si="150"/>
        <v>0</v>
      </c>
      <c r="M260" s="237">
        <f t="shared" si="150"/>
        <v>0</v>
      </c>
      <c r="N260" s="237">
        <f t="shared" si="150"/>
        <v>94424.035</v>
      </c>
      <c r="O260" s="237">
        <f t="shared" si="150"/>
        <v>0</v>
      </c>
      <c r="P260" s="237">
        <f t="shared" si="150"/>
        <v>94424.035</v>
      </c>
      <c r="Q260" s="457">
        <f t="shared" si="150"/>
        <v>20427.015</v>
      </c>
      <c r="R260" s="237">
        <f t="shared" si="150"/>
        <v>38581.37</v>
      </c>
      <c r="S260" s="237">
        <f t="shared" si="150"/>
        <v>35415.65</v>
      </c>
      <c r="T260" s="237">
        <f t="shared" si="150"/>
        <v>0</v>
      </c>
      <c r="U260" s="237">
        <f t="shared" si="150"/>
        <v>0</v>
      </c>
      <c r="V260" s="240">
        <f aca="true" t="shared" si="151" ref="V260:V265">W260+X260</f>
        <v>0</v>
      </c>
      <c r="W260" s="240"/>
      <c r="X260" s="240"/>
      <c r="Y260" s="240"/>
      <c r="Z260" s="228"/>
      <c r="AA260" s="228"/>
      <c r="AB260" s="228"/>
      <c r="AC260" s="242">
        <f aca="true" t="shared" si="152" ref="AC260:AC265">AD260+AE260+AF260</f>
        <v>0</v>
      </c>
      <c r="AD260" s="228"/>
      <c r="AE260" s="228"/>
      <c r="AF260" s="228"/>
      <c r="AG260" s="240"/>
      <c r="AH260" s="240">
        <f aca="true" t="shared" si="153" ref="AH260:AH265">AI260+AL260</f>
        <v>0</v>
      </c>
      <c r="AI260" s="240">
        <f aca="true" t="shared" si="154" ref="AI260:AI265">SUM(AJ260:AK260)</f>
        <v>0</v>
      </c>
      <c r="AJ260" s="240">
        <f aca="true" t="shared" si="155" ref="AJ260:AJ265">W260-AF260-AG260</f>
        <v>0</v>
      </c>
      <c r="AK260" s="228"/>
      <c r="AL260" s="244"/>
      <c r="AM260" s="220"/>
      <c r="AN260" s="224"/>
    </row>
    <row r="261" spans="1:40" s="338" customFormat="1" ht="19.5" customHeight="1">
      <c r="A261" s="230"/>
      <c r="B261" s="314" t="s">
        <v>1360</v>
      </c>
      <c r="C261" s="334" t="s">
        <v>1054</v>
      </c>
      <c r="D261" s="334" t="s">
        <v>1627</v>
      </c>
      <c r="E261" s="335"/>
      <c r="F261" s="317">
        <v>28550</v>
      </c>
      <c r="G261" s="318"/>
      <c r="H261" s="236"/>
      <c r="I261" s="240">
        <f>K261+M261</f>
        <v>23550</v>
      </c>
      <c r="J261" s="241"/>
      <c r="K261" s="458">
        <v>23550</v>
      </c>
      <c r="L261" s="458"/>
      <c r="M261" s="458"/>
      <c r="N261" s="283">
        <f>Q261+R261+S261</f>
        <v>16913.241</v>
      </c>
      <c r="O261" s="283"/>
      <c r="P261" s="239">
        <f>SUM(Q261:S261)</f>
        <v>16913.241</v>
      </c>
      <c r="Q261" s="459">
        <v>16913.241</v>
      </c>
      <c r="R261" s="283">
        <v>0</v>
      </c>
      <c r="S261" s="283">
        <v>0</v>
      </c>
      <c r="T261" s="460"/>
      <c r="U261" s="460"/>
      <c r="V261" s="240">
        <f t="shared" si="151"/>
        <v>0</v>
      </c>
      <c r="W261" s="240"/>
      <c r="X261" s="240"/>
      <c r="Y261" s="240">
        <v>23550000000</v>
      </c>
      <c r="Z261" s="302"/>
      <c r="AA261" s="302"/>
      <c r="AB261" s="241">
        <f>Y261+Z261-AA261+X261</f>
        <v>23550000000</v>
      </c>
      <c r="AC261" s="242">
        <f t="shared" si="152"/>
        <v>16913241000</v>
      </c>
      <c r="AD261" s="302">
        <v>16913241000</v>
      </c>
      <c r="AE261" s="302"/>
      <c r="AF261" s="302"/>
      <c r="AG261" s="240"/>
      <c r="AH261" s="240">
        <f t="shared" si="153"/>
        <v>6636759000</v>
      </c>
      <c r="AI261" s="240">
        <f t="shared" si="154"/>
        <v>2542028911</v>
      </c>
      <c r="AJ261" s="240">
        <f t="shared" si="155"/>
        <v>0</v>
      </c>
      <c r="AK261" s="302">
        <v>2542028911</v>
      </c>
      <c r="AL261" s="244">
        <v>4094730089</v>
      </c>
      <c r="AM261" s="236">
        <f>AB261-AD261-AE261-AK261-AL261</f>
        <v>0</v>
      </c>
      <c r="AN261" s="245" t="s">
        <v>1628</v>
      </c>
    </row>
    <row r="262" spans="1:40" s="418" customFormat="1" ht="19.5" customHeight="1">
      <c r="A262" s="230"/>
      <c r="B262" s="311" t="s">
        <v>1629</v>
      </c>
      <c r="C262" s="232" t="s">
        <v>1263</v>
      </c>
      <c r="D262" s="232" t="s">
        <v>1630</v>
      </c>
      <c r="E262" s="234"/>
      <c r="F262" s="235">
        <v>8400</v>
      </c>
      <c r="G262" s="235"/>
      <c r="H262" s="236">
        <v>4479</v>
      </c>
      <c r="I262" s="240">
        <f>K262+M262</f>
        <v>3900</v>
      </c>
      <c r="J262" s="241"/>
      <c r="K262" s="458">
        <v>3900</v>
      </c>
      <c r="L262" s="458"/>
      <c r="M262" s="458"/>
      <c r="N262" s="283">
        <f>Q262+R262+S262</f>
        <v>3505.909</v>
      </c>
      <c r="O262" s="283"/>
      <c r="P262" s="239">
        <f>SUM(Q262:S262)</f>
        <v>3505.909</v>
      </c>
      <c r="Q262" s="459">
        <v>3505.909</v>
      </c>
      <c r="R262" s="283">
        <v>0</v>
      </c>
      <c r="S262" s="283">
        <v>0</v>
      </c>
      <c r="T262" s="460"/>
      <c r="U262" s="460"/>
      <c r="V262" s="240">
        <f t="shared" si="151"/>
        <v>0</v>
      </c>
      <c r="W262" s="240"/>
      <c r="X262" s="240"/>
      <c r="Y262" s="240">
        <v>3900000000</v>
      </c>
      <c r="Z262" s="302"/>
      <c r="AA262" s="302">
        <v>394091000</v>
      </c>
      <c r="AB262" s="241">
        <f>Y262+Z262-AA262+X262</f>
        <v>3505909000</v>
      </c>
      <c r="AC262" s="242">
        <f t="shared" si="152"/>
        <v>3505909000</v>
      </c>
      <c r="AD262" s="302">
        <v>3505909000</v>
      </c>
      <c r="AE262" s="302"/>
      <c r="AF262" s="302"/>
      <c r="AG262" s="240"/>
      <c r="AH262" s="240">
        <f t="shared" si="153"/>
        <v>0</v>
      </c>
      <c r="AI262" s="240">
        <f t="shared" si="154"/>
        <v>0</v>
      </c>
      <c r="AJ262" s="240">
        <f t="shared" si="155"/>
        <v>0</v>
      </c>
      <c r="AK262" s="302"/>
      <c r="AL262" s="244"/>
      <c r="AM262" s="236">
        <f>AB262-AD262-AE262-AK262-AL262</f>
        <v>0</v>
      </c>
      <c r="AN262" s="245" t="s">
        <v>1628</v>
      </c>
    </row>
    <row r="263" spans="1:40" s="418" customFormat="1" ht="19.5" customHeight="1">
      <c r="A263" s="230"/>
      <c r="B263" s="311" t="s">
        <v>1631</v>
      </c>
      <c r="C263" s="232" t="s">
        <v>1359</v>
      </c>
      <c r="D263" s="232"/>
      <c r="E263" s="234"/>
      <c r="F263" s="235">
        <v>2903</v>
      </c>
      <c r="G263" s="235">
        <v>2774</v>
      </c>
      <c r="H263" s="236">
        <v>2766</v>
      </c>
      <c r="I263" s="237">
        <f>K263+M263</f>
        <v>7.5</v>
      </c>
      <c r="J263" s="238"/>
      <c r="K263" s="458">
        <v>7.5</v>
      </c>
      <c r="L263" s="458"/>
      <c r="M263" s="458"/>
      <c r="N263" s="283">
        <f>Q263+R263+S263</f>
        <v>7.425</v>
      </c>
      <c r="O263" s="283"/>
      <c r="P263" s="239">
        <f>SUM(Q263:S263)</f>
        <v>7.425</v>
      </c>
      <c r="Q263" s="459">
        <v>7.425</v>
      </c>
      <c r="R263" s="283">
        <v>0</v>
      </c>
      <c r="S263" s="283">
        <v>0</v>
      </c>
      <c r="T263" s="460"/>
      <c r="U263" s="460"/>
      <c r="V263" s="240">
        <f t="shared" si="151"/>
        <v>0</v>
      </c>
      <c r="W263" s="240"/>
      <c r="X263" s="240"/>
      <c r="Y263" s="240">
        <v>7500000</v>
      </c>
      <c r="Z263" s="302"/>
      <c r="AA263" s="302">
        <v>75000</v>
      </c>
      <c r="AB263" s="241">
        <f>Y263+Z263-AA263+X263</f>
        <v>7425000</v>
      </c>
      <c r="AC263" s="242">
        <f t="shared" si="152"/>
        <v>7425000</v>
      </c>
      <c r="AD263" s="302">
        <v>7425000</v>
      </c>
      <c r="AE263" s="302"/>
      <c r="AF263" s="302"/>
      <c r="AG263" s="240"/>
      <c r="AH263" s="240">
        <f t="shared" si="153"/>
        <v>0</v>
      </c>
      <c r="AI263" s="240">
        <f t="shared" si="154"/>
        <v>0</v>
      </c>
      <c r="AJ263" s="240">
        <f t="shared" si="155"/>
        <v>0</v>
      </c>
      <c r="AK263" s="302"/>
      <c r="AL263" s="244"/>
      <c r="AM263" s="236">
        <f>AB263-AD263-AE263-AK263-AL263</f>
        <v>0</v>
      </c>
      <c r="AN263" s="245" t="s">
        <v>1628</v>
      </c>
    </row>
    <row r="264" spans="1:40" s="418" customFormat="1" ht="19.5" customHeight="1">
      <c r="A264" s="230"/>
      <c r="B264" s="311" t="s">
        <v>1632</v>
      </c>
      <c r="C264" s="232" t="s">
        <v>1371</v>
      </c>
      <c r="D264" s="232" t="s">
        <v>1369</v>
      </c>
      <c r="E264" s="234"/>
      <c r="F264" s="235">
        <v>13250</v>
      </c>
      <c r="G264" s="235">
        <f>12487+0.5</f>
        <v>12487.5</v>
      </c>
      <c r="H264" s="236">
        <v>12487</v>
      </c>
      <c r="I264" s="461">
        <f>K264+M264</f>
        <v>0.5</v>
      </c>
      <c r="J264" s="238"/>
      <c r="K264" s="458">
        <v>0.5</v>
      </c>
      <c r="L264" s="458"/>
      <c r="M264" s="458"/>
      <c r="N264" s="283">
        <f>Q264+R264+S264</f>
        <v>0.44</v>
      </c>
      <c r="O264" s="283"/>
      <c r="P264" s="283">
        <f>SUM(Q264:S264)</f>
        <v>0.44</v>
      </c>
      <c r="Q264" s="459">
        <v>0.44</v>
      </c>
      <c r="R264" s="283">
        <v>0</v>
      </c>
      <c r="S264" s="283">
        <v>0</v>
      </c>
      <c r="T264" s="460"/>
      <c r="U264" s="460"/>
      <c r="V264" s="240">
        <f t="shared" si="151"/>
        <v>0</v>
      </c>
      <c r="W264" s="240"/>
      <c r="X264" s="240"/>
      <c r="Y264" s="240">
        <v>500000</v>
      </c>
      <c r="Z264" s="302"/>
      <c r="AA264" s="302">
        <v>55000</v>
      </c>
      <c r="AB264" s="241">
        <f>Y264+Z264-AA264+X264</f>
        <v>445000</v>
      </c>
      <c r="AC264" s="242">
        <f t="shared" si="152"/>
        <v>445000</v>
      </c>
      <c r="AD264" s="302">
        <v>445000</v>
      </c>
      <c r="AE264" s="302"/>
      <c r="AF264" s="302"/>
      <c r="AG264" s="240"/>
      <c r="AH264" s="240">
        <f t="shared" si="153"/>
        <v>0</v>
      </c>
      <c r="AI264" s="240">
        <f t="shared" si="154"/>
        <v>0</v>
      </c>
      <c r="AJ264" s="240">
        <f t="shared" si="155"/>
        <v>0</v>
      </c>
      <c r="AK264" s="302"/>
      <c r="AL264" s="244"/>
      <c r="AM264" s="236">
        <f>AB264-AD264-AE264-AK264-AL264</f>
        <v>0</v>
      </c>
      <c r="AN264" s="245" t="s">
        <v>1628</v>
      </c>
    </row>
    <row r="265" spans="1:40" s="418" customFormat="1" ht="19.5" customHeight="1">
      <c r="A265" s="230"/>
      <c r="B265" s="311" t="s">
        <v>1633</v>
      </c>
      <c r="C265" s="232" t="s">
        <v>1634</v>
      </c>
      <c r="D265" s="232"/>
      <c r="E265" s="234"/>
      <c r="F265" s="235"/>
      <c r="G265" s="235"/>
      <c r="H265" s="236"/>
      <c r="I265" s="237">
        <f>K265+M265</f>
        <v>80000</v>
      </c>
      <c r="J265" s="238"/>
      <c r="K265" s="237">
        <v>80000</v>
      </c>
      <c r="L265" s="237"/>
      <c r="M265" s="237"/>
      <c r="N265" s="239">
        <f>Q265+R265+S265</f>
        <v>73997.02</v>
      </c>
      <c r="O265" s="239"/>
      <c r="P265" s="239">
        <f>SUM(Q265:S265)</f>
        <v>73997.02</v>
      </c>
      <c r="Q265" s="459">
        <v>0</v>
      </c>
      <c r="R265" s="462">
        <v>38581.37</v>
      </c>
      <c r="S265" s="462">
        <v>35415.65</v>
      </c>
      <c r="T265" s="301"/>
      <c r="U265" s="235"/>
      <c r="V265" s="240">
        <f t="shared" si="151"/>
        <v>74032645103</v>
      </c>
      <c r="W265" s="240">
        <v>35419342809</v>
      </c>
      <c r="X265" s="240">
        <v>38613302294</v>
      </c>
      <c r="Y265" s="240"/>
      <c r="Z265" s="302">
        <v>462244000</v>
      </c>
      <c r="AA265" s="302"/>
      <c r="AB265" s="241">
        <f>Y265+Z265-AA265+X265</f>
        <v>39075546294</v>
      </c>
      <c r="AC265" s="242">
        <f t="shared" si="152"/>
        <v>73997024504</v>
      </c>
      <c r="AD265" s="302"/>
      <c r="AE265" s="302">
        <v>38581373595</v>
      </c>
      <c r="AF265" s="302">
        <v>35415650909</v>
      </c>
      <c r="AG265" s="240"/>
      <c r="AH265" s="240">
        <f t="shared" si="153"/>
        <v>497864599</v>
      </c>
      <c r="AI265" s="240">
        <f t="shared" si="154"/>
        <v>35620599</v>
      </c>
      <c r="AJ265" s="240">
        <f t="shared" si="155"/>
        <v>3691900</v>
      </c>
      <c r="AK265" s="302">
        <v>31928699</v>
      </c>
      <c r="AL265" s="244">
        <v>462244000</v>
      </c>
      <c r="AM265" s="236">
        <f>AB265-AD265-AE265-AK265-AL265</f>
        <v>0</v>
      </c>
      <c r="AN265" s="245" t="s">
        <v>1628</v>
      </c>
    </row>
    <row r="266" spans="1:39" s="298" customFormat="1" ht="19.5" customHeight="1">
      <c r="A266" s="275">
        <v>2</v>
      </c>
      <c r="B266" s="463" t="s">
        <v>1635</v>
      </c>
      <c r="C266" s="288"/>
      <c r="D266" s="455"/>
      <c r="E266" s="289"/>
      <c r="F266" s="291"/>
      <c r="G266" s="291"/>
      <c r="H266" s="291"/>
      <c r="I266" s="282"/>
      <c r="J266" s="282"/>
      <c r="K266" s="282"/>
      <c r="L266" s="282"/>
      <c r="M266" s="282"/>
      <c r="N266" s="282">
        <f aca="true" t="shared" si="156" ref="N266:AM266">N267</f>
        <v>1458.571561</v>
      </c>
      <c r="O266" s="282"/>
      <c r="P266" s="282">
        <f t="shared" si="156"/>
        <v>1458.571561</v>
      </c>
      <c r="Q266" s="282">
        <f t="shared" si="156"/>
        <v>0</v>
      </c>
      <c r="R266" s="282">
        <f t="shared" si="156"/>
        <v>0</v>
      </c>
      <c r="S266" s="282">
        <f t="shared" si="156"/>
        <v>1458.571561</v>
      </c>
      <c r="T266" s="282">
        <f t="shared" si="156"/>
        <v>0</v>
      </c>
      <c r="U266" s="291"/>
      <c r="V266" s="292">
        <f>V267</f>
        <v>1858571561</v>
      </c>
      <c r="W266" s="292">
        <f t="shared" si="156"/>
        <v>400000000</v>
      </c>
      <c r="X266" s="292">
        <f t="shared" si="156"/>
        <v>1458571561</v>
      </c>
      <c r="Y266" s="292">
        <f t="shared" si="156"/>
        <v>0</v>
      </c>
      <c r="Z266" s="292">
        <f t="shared" si="156"/>
        <v>0</v>
      </c>
      <c r="AA266" s="292">
        <f t="shared" si="156"/>
        <v>0</v>
      </c>
      <c r="AB266" s="292">
        <f t="shared" si="156"/>
        <v>1458571561</v>
      </c>
      <c r="AC266" s="292">
        <f t="shared" si="156"/>
        <v>0</v>
      </c>
      <c r="AD266" s="292">
        <f t="shared" si="156"/>
        <v>0</v>
      </c>
      <c r="AE266" s="292">
        <f>AE267</f>
        <v>0</v>
      </c>
      <c r="AF266" s="292">
        <f t="shared" si="156"/>
        <v>0</v>
      </c>
      <c r="AG266" s="292">
        <f t="shared" si="156"/>
        <v>0</v>
      </c>
      <c r="AH266" s="292">
        <f t="shared" si="156"/>
        <v>1858571561</v>
      </c>
      <c r="AI266" s="292">
        <f t="shared" si="156"/>
        <v>400000000</v>
      </c>
      <c r="AJ266" s="292">
        <f t="shared" si="156"/>
        <v>400000000</v>
      </c>
      <c r="AK266" s="292">
        <f t="shared" si="156"/>
        <v>0</v>
      </c>
      <c r="AL266" s="291">
        <f t="shared" si="156"/>
        <v>1458571561</v>
      </c>
      <c r="AM266" s="291">
        <f t="shared" si="156"/>
        <v>0</v>
      </c>
    </row>
    <row r="267" spans="1:39" s="185" customFormat="1" ht="19.5" customHeight="1">
      <c r="A267" s="230"/>
      <c r="B267" s="464" t="s">
        <v>1636</v>
      </c>
      <c r="C267" s="232"/>
      <c r="D267" s="233"/>
      <c r="E267" s="234"/>
      <c r="F267" s="236"/>
      <c r="G267" s="236"/>
      <c r="H267" s="236"/>
      <c r="I267" s="237"/>
      <c r="J267" s="238"/>
      <c r="K267" s="237"/>
      <c r="L267" s="237"/>
      <c r="M267" s="237"/>
      <c r="N267" s="239">
        <f>Q267+R267+S267</f>
        <v>1458.571561</v>
      </c>
      <c r="O267" s="239"/>
      <c r="P267" s="239">
        <f>SUM(Q267:S267)</f>
        <v>1458.571561</v>
      </c>
      <c r="Q267" s="239">
        <v>0</v>
      </c>
      <c r="R267" s="239">
        <v>0</v>
      </c>
      <c r="S267" s="239">
        <v>1458.571561</v>
      </c>
      <c r="T267" s="301"/>
      <c r="U267" s="235"/>
      <c r="V267" s="240">
        <f>W267+X267</f>
        <v>1858571561</v>
      </c>
      <c r="W267" s="240">
        <v>400000000</v>
      </c>
      <c r="X267" s="240">
        <v>1458571561</v>
      </c>
      <c r="Y267" s="240"/>
      <c r="Z267" s="302"/>
      <c r="AA267" s="302"/>
      <c r="AB267" s="241">
        <f>Y267+Z267-AA267+X267</f>
        <v>1458571561</v>
      </c>
      <c r="AC267" s="242"/>
      <c r="AD267" s="465"/>
      <c r="AE267" s="302"/>
      <c r="AF267" s="302"/>
      <c r="AG267" s="240"/>
      <c r="AH267" s="240">
        <f>AI267+AL267</f>
        <v>1858571561</v>
      </c>
      <c r="AI267" s="240">
        <f>SUM(AJ267:AK267)</f>
        <v>400000000</v>
      </c>
      <c r="AJ267" s="240">
        <f>W267-AF267-AG267</f>
        <v>400000000</v>
      </c>
      <c r="AK267" s="466"/>
      <c r="AL267" s="244">
        <v>1458571561</v>
      </c>
      <c r="AM267" s="236">
        <f>AB267-AD267-AE267-AK267-AL267</f>
        <v>0</v>
      </c>
    </row>
    <row r="268" spans="1:41" s="603" customFormat="1" ht="19.5" customHeight="1">
      <c r="A268" s="597" t="s">
        <v>1637</v>
      </c>
      <c r="B268" s="598" t="s">
        <v>812</v>
      </c>
      <c r="C268" s="599"/>
      <c r="D268" s="599"/>
      <c r="E268" s="600"/>
      <c r="F268" s="601"/>
      <c r="G268" s="601"/>
      <c r="H268" s="601"/>
      <c r="I268" s="602">
        <f aca="true" t="shared" si="157" ref="I268:AO268">I269+I292+I299+I307+I310+I317+I323+I328+I331+I336+I436+I441+I444+I453+I461+I463+I465+I469+I474+I479+I482+I500+I520+I524+I526+I535+I540+I544+I548+I586+I647</f>
        <v>1025486.7314530001</v>
      </c>
      <c r="J268" s="602">
        <f t="shared" si="157"/>
        <v>12221.529600000002</v>
      </c>
      <c r="K268" s="602">
        <f t="shared" si="157"/>
        <v>753482.7305999999</v>
      </c>
      <c r="L268" s="602">
        <f t="shared" si="157"/>
        <v>0</v>
      </c>
      <c r="M268" s="602">
        <f t="shared" si="157"/>
        <v>272004.01085300004</v>
      </c>
      <c r="N268" s="602">
        <f t="shared" si="157"/>
        <v>869425.9437510001</v>
      </c>
      <c r="O268" s="602">
        <f t="shared" si="157"/>
        <v>7758.7806</v>
      </c>
      <c r="P268" s="602">
        <f t="shared" si="157"/>
        <v>647077.373405</v>
      </c>
      <c r="Q268" s="602">
        <f t="shared" si="157"/>
        <v>501825.780281</v>
      </c>
      <c r="R268" s="602" t="e">
        <f t="shared" si="157"/>
        <v>#REF!</v>
      </c>
      <c r="S268" s="602" t="e">
        <f t="shared" si="157"/>
        <v>#REF!</v>
      </c>
      <c r="T268" s="602" t="e">
        <f t="shared" si="157"/>
        <v>#REF!</v>
      </c>
      <c r="U268" s="602">
        <f t="shared" si="157"/>
        <v>222348.573346</v>
      </c>
      <c r="V268" s="602" t="e">
        <f t="shared" si="157"/>
        <v>#REF!</v>
      </c>
      <c r="W268" s="602" t="e">
        <f t="shared" si="157"/>
        <v>#REF!</v>
      </c>
      <c r="X268" s="602" t="e">
        <f t="shared" si="157"/>
        <v>#REF!</v>
      </c>
      <c r="Y268" s="602" t="e">
        <f t="shared" si="157"/>
        <v>#REF!</v>
      </c>
      <c r="Z268" s="602" t="e">
        <f t="shared" si="157"/>
        <v>#REF!</v>
      </c>
      <c r="AA268" s="602" t="e">
        <f t="shared" si="157"/>
        <v>#REF!</v>
      </c>
      <c r="AB268" s="602" t="e">
        <f t="shared" si="157"/>
        <v>#REF!</v>
      </c>
      <c r="AC268" s="602" t="e">
        <f t="shared" si="157"/>
        <v>#REF!</v>
      </c>
      <c r="AD268" s="602" t="e">
        <f t="shared" si="157"/>
        <v>#REF!</v>
      </c>
      <c r="AE268" s="602" t="e">
        <f t="shared" si="157"/>
        <v>#REF!</v>
      </c>
      <c r="AF268" s="602" t="e">
        <f t="shared" si="157"/>
        <v>#REF!</v>
      </c>
      <c r="AG268" s="602" t="e">
        <f t="shared" si="157"/>
        <v>#REF!</v>
      </c>
      <c r="AH268" s="602" t="e">
        <f t="shared" si="157"/>
        <v>#REF!</v>
      </c>
      <c r="AI268" s="602" t="e">
        <f t="shared" si="157"/>
        <v>#REF!</v>
      </c>
      <c r="AJ268" s="602" t="e">
        <f t="shared" si="157"/>
        <v>#REF!</v>
      </c>
      <c r="AK268" s="602" t="e">
        <f t="shared" si="157"/>
        <v>#REF!</v>
      </c>
      <c r="AL268" s="602" t="e">
        <f t="shared" si="157"/>
        <v>#REF!</v>
      </c>
      <c r="AM268" s="602" t="e">
        <f t="shared" si="157"/>
        <v>#REF!</v>
      </c>
      <c r="AN268" s="602" t="e">
        <f t="shared" si="157"/>
        <v>#VALUE!</v>
      </c>
      <c r="AO268" s="602">
        <f t="shared" si="157"/>
        <v>0</v>
      </c>
    </row>
    <row r="269" spans="1:41" s="321" customFormat="1" ht="19.5" customHeight="1">
      <c r="A269" s="216">
        <v>1</v>
      </c>
      <c r="B269" s="217" t="s">
        <v>1638</v>
      </c>
      <c r="C269" s="218"/>
      <c r="D269" s="218"/>
      <c r="E269" s="219"/>
      <c r="F269" s="221"/>
      <c r="G269" s="221"/>
      <c r="H269" s="221"/>
      <c r="I269" s="222">
        <f>SUM(I270,I281)</f>
        <v>132719</v>
      </c>
      <c r="J269" s="222">
        <f aca="true" t="shared" si="158" ref="J269:AO269">SUM(J270,J281)</f>
        <v>0</v>
      </c>
      <c r="K269" s="222">
        <f t="shared" si="158"/>
        <v>132719</v>
      </c>
      <c r="L269" s="222">
        <f t="shared" si="158"/>
        <v>0</v>
      </c>
      <c r="M269" s="222">
        <f t="shared" si="158"/>
        <v>0</v>
      </c>
      <c r="N269" s="222">
        <f t="shared" si="158"/>
        <v>134857.164942</v>
      </c>
      <c r="O269" s="222">
        <f t="shared" si="158"/>
        <v>0</v>
      </c>
      <c r="P269" s="222">
        <f t="shared" si="158"/>
        <v>134857.164942</v>
      </c>
      <c r="Q269" s="222">
        <f t="shared" si="158"/>
        <v>127332.829392</v>
      </c>
      <c r="R269" s="222">
        <f t="shared" si="158"/>
        <v>0</v>
      </c>
      <c r="S269" s="222">
        <f t="shared" si="158"/>
        <v>7524.33555</v>
      </c>
      <c r="T269" s="222">
        <f t="shared" si="158"/>
        <v>0</v>
      </c>
      <c r="U269" s="222">
        <f t="shared" si="158"/>
        <v>0</v>
      </c>
      <c r="V269" s="222">
        <f t="shared" si="158"/>
        <v>10840980839</v>
      </c>
      <c r="W269" s="222">
        <f t="shared" si="158"/>
        <v>10840980839</v>
      </c>
      <c r="X269" s="222">
        <f t="shared" si="158"/>
        <v>0</v>
      </c>
      <c r="Y269" s="222">
        <f t="shared" si="158"/>
        <v>132719000000</v>
      </c>
      <c r="Z269" s="222">
        <f t="shared" si="158"/>
        <v>0</v>
      </c>
      <c r="AA269" s="222">
        <f t="shared" si="158"/>
        <v>0</v>
      </c>
      <c r="AB269" s="222">
        <f t="shared" si="158"/>
        <v>132719000000</v>
      </c>
      <c r="AC269" s="222">
        <f t="shared" si="158"/>
        <v>134857164942</v>
      </c>
      <c r="AD269" s="222">
        <f t="shared" si="158"/>
        <v>127332829392</v>
      </c>
      <c r="AE269" s="222">
        <f t="shared" si="158"/>
        <v>0</v>
      </c>
      <c r="AF269" s="222">
        <f t="shared" si="158"/>
        <v>7524335550</v>
      </c>
      <c r="AG269" s="222">
        <f t="shared" si="158"/>
        <v>425178000</v>
      </c>
      <c r="AH269" s="222">
        <f t="shared" si="158"/>
        <v>7942057897</v>
      </c>
      <c r="AI269" s="222">
        <f t="shared" si="158"/>
        <v>5791804289</v>
      </c>
      <c r="AJ269" s="222">
        <f t="shared" si="158"/>
        <v>2891467289</v>
      </c>
      <c r="AK269" s="222">
        <f t="shared" si="158"/>
        <v>2900337000</v>
      </c>
      <c r="AL269" s="222">
        <f t="shared" si="158"/>
        <v>2150253608</v>
      </c>
      <c r="AM269" s="222">
        <f t="shared" si="158"/>
        <v>335580000</v>
      </c>
      <c r="AN269" s="222">
        <f t="shared" si="158"/>
        <v>0</v>
      </c>
      <c r="AO269" s="222">
        <f t="shared" si="158"/>
        <v>0</v>
      </c>
    </row>
    <row r="270" spans="1:41" s="469" customFormat="1" ht="19.5" customHeight="1">
      <c r="A270" s="467"/>
      <c r="B270" s="287" t="s">
        <v>1327</v>
      </c>
      <c r="C270" s="290"/>
      <c r="D270" s="290"/>
      <c r="E270" s="468"/>
      <c r="F270" s="290"/>
      <c r="G270" s="290"/>
      <c r="H270" s="290"/>
      <c r="I270" s="282">
        <f>SUM(I271:I280)</f>
        <v>48919</v>
      </c>
      <c r="J270" s="282">
        <f aca="true" t="shared" si="159" ref="J270:AO270">SUM(J271:J280)</f>
        <v>0</v>
      </c>
      <c r="K270" s="282">
        <f t="shared" si="159"/>
        <v>48919</v>
      </c>
      <c r="L270" s="282">
        <f t="shared" si="159"/>
        <v>0</v>
      </c>
      <c r="M270" s="282">
        <f t="shared" si="159"/>
        <v>0</v>
      </c>
      <c r="N270" s="282">
        <f t="shared" si="159"/>
        <v>53117.260792</v>
      </c>
      <c r="O270" s="282">
        <f t="shared" si="159"/>
        <v>0</v>
      </c>
      <c r="P270" s="282">
        <f t="shared" si="159"/>
        <v>53117.260792</v>
      </c>
      <c r="Q270" s="282">
        <f t="shared" si="159"/>
        <v>48390.752391999995</v>
      </c>
      <c r="R270" s="282">
        <f t="shared" si="159"/>
        <v>0</v>
      </c>
      <c r="S270" s="282">
        <f t="shared" si="159"/>
        <v>4726.5084</v>
      </c>
      <c r="T270" s="282">
        <f t="shared" si="159"/>
        <v>0</v>
      </c>
      <c r="U270" s="282">
        <f t="shared" si="159"/>
        <v>0</v>
      </c>
      <c r="V270" s="296">
        <f t="shared" si="159"/>
        <v>6767142084</v>
      </c>
      <c r="W270" s="296">
        <f t="shared" si="159"/>
        <v>6767142084</v>
      </c>
      <c r="X270" s="296">
        <f t="shared" si="159"/>
        <v>0</v>
      </c>
      <c r="Y270" s="296">
        <f t="shared" si="159"/>
        <v>48919000000</v>
      </c>
      <c r="Z270" s="296">
        <f t="shared" si="159"/>
        <v>0</v>
      </c>
      <c r="AA270" s="296">
        <f t="shared" si="159"/>
        <v>0</v>
      </c>
      <c r="AB270" s="296">
        <f t="shared" si="159"/>
        <v>48919000000</v>
      </c>
      <c r="AC270" s="296">
        <f t="shared" si="159"/>
        <v>53117260792</v>
      </c>
      <c r="AD270" s="296">
        <f t="shared" si="159"/>
        <v>48390752392</v>
      </c>
      <c r="AE270" s="296">
        <f t="shared" si="159"/>
        <v>0</v>
      </c>
      <c r="AF270" s="296">
        <f t="shared" si="159"/>
        <v>4726508400</v>
      </c>
      <c r="AG270" s="296">
        <f t="shared" si="159"/>
        <v>0</v>
      </c>
      <c r="AH270" s="296">
        <f t="shared" si="159"/>
        <v>2568881292</v>
      </c>
      <c r="AI270" s="296">
        <f t="shared" si="159"/>
        <v>2536192684</v>
      </c>
      <c r="AJ270" s="296">
        <f t="shared" si="159"/>
        <v>2040633684</v>
      </c>
      <c r="AK270" s="296">
        <f t="shared" si="159"/>
        <v>495559000</v>
      </c>
      <c r="AL270" s="296">
        <f t="shared" si="159"/>
        <v>32688608</v>
      </c>
      <c r="AM270" s="296">
        <f t="shared" si="159"/>
        <v>0</v>
      </c>
      <c r="AN270" s="296">
        <f t="shared" si="159"/>
        <v>0</v>
      </c>
      <c r="AO270" s="296">
        <f t="shared" si="159"/>
        <v>0</v>
      </c>
    </row>
    <row r="271" spans="1:40" s="473" customFormat="1" ht="19.5" customHeight="1">
      <c r="A271" s="470"/>
      <c r="B271" s="396" t="s">
        <v>1639</v>
      </c>
      <c r="C271" s="304" t="s">
        <v>1414</v>
      </c>
      <c r="D271" s="306"/>
      <c r="E271" s="471"/>
      <c r="F271" s="306"/>
      <c r="G271" s="306"/>
      <c r="H271" s="306"/>
      <c r="I271" s="237"/>
      <c r="J271" s="307"/>
      <c r="K271" s="237"/>
      <c r="L271" s="237"/>
      <c r="M271" s="237"/>
      <c r="N271" s="239">
        <f aca="true" t="shared" si="160" ref="N271:N291">Q271+R271+S271</f>
        <v>381.341084</v>
      </c>
      <c r="O271" s="239"/>
      <c r="P271" s="239">
        <f>SUM(Q271:S271)</f>
        <v>381.341084</v>
      </c>
      <c r="Q271" s="239">
        <v>0</v>
      </c>
      <c r="R271" s="239">
        <v>0</v>
      </c>
      <c r="S271" s="239">
        <v>381.341084</v>
      </c>
      <c r="T271" s="307"/>
      <c r="U271" s="306"/>
      <c r="V271" s="240">
        <f aca="true" t="shared" si="161" ref="V271:V291">W271+X271</f>
        <v>381341084</v>
      </c>
      <c r="W271" s="240">
        <v>381341084</v>
      </c>
      <c r="X271" s="240"/>
      <c r="Y271" s="240"/>
      <c r="Z271" s="308"/>
      <c r="AA271" s="308"/>
      <c r="AB271" s="241">
        <f aca="true" t="shared" si="162" ref="AB271:AB291">Y271+Z271-AA271+X271</f>
        <v>0</v>
      </c>
      <c r="AC271" s="242">
        <f aca="true" t="shared" si="163" ref="AC271:AC291">AD271+AE271+AF271</f>
        <v>381341084</v>
      </c>
      <c r="AD271" s="308"/>
      <c r="AE271" s="308"/>
      <c r="AF271" s="308">
        <v>381341084</v>
      </c>
      <c r="AG271" s="240"/>
      <c r="AH271" s="240">
        <f aca="true" t="shared" si="164" ref="AH271:AH291">AI271+AL271</f>
        <v>0</v>
      </c>
      <c r="AI271" s="240">
        <f aca="true" t="shared" si="165" ref="AI271:AI291">SUM(AJ271:AK271)</f>
        <v>0</v>
      </c>
      <c r="AJ271" s="240">
        <f aca="true" t="shared" si="166" ref="AJ271:AJ291">W271-AF271-AG271</f>
        <v>0</v>
      </c>
      <c r="AK271" s="308"/>
      <c r="AL271" s="244"/>
      <c r="AM271" s="236">
        <f aca="true" t="shared" si="167" ref="AM271:AM291">AB271-AD271-AE271-AK271-AL271</f>
        <v>0</v>
      </c>
      <c r="AN271" s="472"/>
    </row>
    <row r="272" spans="1:40" s="473" customFormat="1" ht="19.5" customHeight="1">
      <c r="A272" s="470"/>
      <c r="B272" s="396" t="s">
        <v>1639</v>
      </c>
      <c r="C272" s="304" t="s">
        <v>1414</v>
      </c>
      <c r="D272" s="306"/>
      <c r="E272" s="471"/>
      <c r="F272" s="306"/>
      <c r="G272" s="306"/>
      <c r="H272" s="306"/>
      <c r="I272" s="237"/>
      <c r="J272" s="307"/>
      <c r="K272" s="237"/>
      <c r="L272" s="237"/>
      <c r="M272" s="237"/>
      <c r="N272" s="239">
        <f t="shared" si="160"/>
        <v>568.539916</v>
      </c>
      <c r="O272" s="239"/>
      <c r="P272" s="239">
        <f aca="true" t="shared" si="168" ref="P272:P280">SUM(Q272:S272)</f>
        <v>568.539916</v>
      </c>
      <c r="Q272" s="239">
        <v>0</v>
      </c>
      <c r="R272" s="239">
        <v>0</v>
      </c>
      <c r="S272" s="239">
        <v>568.539916</v>
      </c>
      <c r="T272" s="307"/>
      <c r="U272" s="306"/>
      <c r="V272" s="240">
        <f t="shared" si="161"/>
        <v>2073000000</v>
      </c>
      <c r="W272" s="240">
        <v>2073000000</v>
      </c>
      <c r="X272" s="240"/>
      <c r="Y272" s="240"/>
      <c r="Z272" s="308"/>
      <c r="AA272" s="308"/>
      <c r="AB272" s="241">
        <f t="shared" si="162"/>
        <v>0</v>
      </c>
      <c r="AC272" s="242">
        <f t="shared" si="163"/>
        <v>568539916</v>
      </c>
      <c r="AD272" s="308"/>
      <c r="AE272" s="308"/>
      <c r="AF272" s="308">
        <v>568539916</v>
      </c>
      <c r="AG272" s="240"/>
      <c r="AH272" s="240">
        <f t="shared" si="164"/>
        <v>1504460084</v>
      </c>
      <c r="AI272" s="240">
        <f t="shared" si="165"/>
        <v>1504460084</v>
      </c>
      <c r="AJ272" s="240">
        <f t="shared" si="166"/>
        <v>1504460084</v>
      </c>
      <c r="AK272" s="308"/>
      <c r="AL272" s="244"/>
      <c r="AM272" s="236">
        <f t="shared" si="167"/>
        <v>0</v>
      </c>
      <c r="AN272" s="472"/>
    </row>
    <row r="273" spans="1:40" s="473" customFormat="1" ht="19.5" customHeight="1">
      <c r="A273" s="470"/>
      <c r="B273" s="396" t="s">
        <v>1640</v>
      </c>
      <c r="C273" s="304" t="s">
        <v>1414</v>
      </c>
      <c r="D273" s="306"/>
      <c r="E273" s="471"/>
      <c r="F273" s="306"/>
      <c r="G273" s="306"/>
      <c r="H273" s="306"/>
      <c r="I273" s="237"/>
      <c r="J273" s="307"/>
      <c r="K273" s="237"/>
      <c r="L273" s="237"/>
      <c r="M273" s="237"/>
      <c r="N273" s="239">
        <f t="shared" si="160"/>
        <v>2808.663</v>
      </c>
      <c r="O273" s="239"/>
      <c r="P273" s="239">
        <f t="shared" si="168"/>
        <v>2808.663</v>
      </c>
      <c r="Q273" s="239">
        <v>0</v>
      </c>
      <c r="R273" s="239">
        <v>0</v>
      </c>
      <c r="S273" s="239">
        <v>2808.663</v>
      </c>
      <c r="T273" s="307"/>
      <c r="U273" s="306"/>
      <c r="V273" s="240">
        <f t="shared" si="161"/>
        <v>3074827000</v>
      </c>
      <c r="W273" s="240">
        <v>3074827000</v>
      </c>
      <c r="X273" s="240"/>
      <c r="Y273" s="240"/>
      <c r="Z273" s="308"/>
      <c r="AA273" s="308"/>
      <c r="AB273" s="241">
        <f t="shared" si="162"/>
        <v>0</v>
      </c>
      <c r="AC273" s="242">
        <f t="shared" si="163"/>
        <v>2808663000</v>
      </c>
      <c r="AD273" s="308"/>
      <c r="AE273" s="308"/>
      <c r="AF273" s="308">
        <v>2808663000</v>
      </c>
      <c r="AG273" s="240"/>
      <c r="AH273" s="240">
        <f t="shared" si="164"/>
        <v>266164000</v>
      </c>
      <c r="AI273" s="240">
        <f t="shared" si="165"/>
        <v>266164000</v>
      </c>
      <c r="AJ273" s="240">
        <f t="shared" si="166"/>
        <v>266164000</v>
      </c>
      <c r="AK273" s="308"/>
      <c r="AL273" s="244"/>
      <c r="AM273" s="236">
        <f t="shared" si="167"/>
        <v>0</v>
      </c>
      <c r="AN273" s="472"/>
    </row>
    <row r="274" spans="1:40" s="473" customFormat="1" ht="19.5" customHeight="1">
      <c r="A274" s="470"/>
      <c r="B274" s="396" t="s">
        <v>1641</v>
      </c>
      <c r="C274" s="304" t="s">
        <v>1414</v>
      </c>
      <c r="D274" s="306"/>
      <c r="E274" s="471"/>
      <c r="F274" s="306"/>
      <c r="G274" s="306"/>
      <c r="H274" s="306"/>
      <c r="I274" s="237"/>
      <c r="J274" s="307"/>
      <c r="K274" s="237"/>
      <c r="L274" s="237"/>
      <c r="M274" s="237"/>
      <c r="N274" s="239">
        <f t="shared" si="160"/>
        <v>293.5314</v>
      </c>
      <c r="O274" s="239"/>
      <c r="P274" s="239">
        <f t="shared" si="168"/>
        <v>293.5314</v>
      </c>
      <c r="Q274" s="239">
        <v>0</v>
      </c>
      <c r="R274" s="239">
        <v>0</v>
      </c>
      <c r="S274" s="239">
        <v>293.5314</v>
      </c>
      <c r="T274" s="307"/>
      <c r="U274" s="306"/>
      <c r="V274" s="240">
        <f t="shared" si="161"/>
        <v>310397000</v>
      </c>
      <c r="W274" s="240">
        <v>310397000</v>
      </c>
      <c r="X274" s="240"/>
      <c r="Y274" s="240"/>
      <c r="Z274" s="308"/>
      <c r="AA274" s="308"/>
      <c r="AB274" s="241">
        <f t="shared" si="162"/>
        <v>0</v>
      </c>
      <c r="AC274" s="242">
        <f t="shared" si="163"/>
        <v>293531400</v>
      </c>
      <c r="AD274" s="308"/>
      <c r="AE274" s="308"/>
      <c r="AF274" s="308">
        <v>293531400</v>
      </c>
      <c r="AG274" s="240"/>
      <c r="AH274" s="240">
        <f t="shared" si="164"/>
        <v>16865600</v>
      </c>
      <c r="AI274" s="240">
        <f t="shared" si="165"/>
        <v>16865600</v>
      </c>
      <c r="AJ274" s="240">
        <f t="shared" si="166"/>
        <v>16865600</v>
      </c>
      <c r="AK274" s="308"/>
      <c r="AL274" s="244"/>
      <c r="AM274" s="236">
        <f t="shared" si="167"/>
        <v>0</v>
      </c>
      <c r="AN274" s="472"/>
    </row>
    <row r="275" spans="1:40" s="473" customFormat="1" ht="19.5" customHeight="1">
      <c r="A275" s="470"/>
      <c r="B275" s="396" t="s">
        <v>1642</v>
      </c>
      <c r="C275" s="304" t="s">
        <v>1643</v>
      </c>
      <c r="D275" s="306"/>
      <c r="E275" s="471"/>
      <c r="F275" s="306"/>
      <c r="G275" s="306"/>
      <c r="H275" s="306"/>
      <c r="I275" s="237"/>
      <c r="J275" s="307"/>
      <c r="K275" s="237"/>
      <c r="L275" s="237"/>
      <c r="M275" s="237"/>
      <c r="N275" s="239">
        <f t="shared" si="160"/>
        <v>174.433</v>
      </c>
      <c r="O275" s="239"/>
      <c r="P275" s="239">
        <f t="shared" si="168"/>
        <v>174.433</v>
      </c>
      <c r="Q275" s="239">
        <v>0</v>
      </c>
      <c r="R275" s="239">
        <v>0</v>
      </c>
      <c r="S275" s="239">
        <v>174.433</v>
      </c>
      <c r="T275" s="307"/>
      <c r="U275" s="306"/>
      <c r="V275" s="240">
        <f t="shared" si="161"/>
        <v>427577000</v>
      </c>
      <c r="W275" s="240">
        <v>427577000</v>
      </c>
      <c r="X275" s="240"/>
      <c r="Y275" s="240"/>
      <c r="Z275" s="308"/>
      <c r="AA275" s="308"/>
      <c r="AB275" s="241">
        <f t="shared" si="162"/>
        <v>0</v>
      </c>
      <c r="AC275" s="242">
        <f t="shared" si="163"/>
        <v>174433000</v>
      </c>
      <c r="AD275" s="308"/>
      <c r="AE275" s="308"/>
      <c r="AF275" s="308">
        <v>174433000</v>
      </c>
      <c r="AG275" s="240"/>
      <c r="AH275" s="240">
        <f t="shared" si="164"/>
        <v>253144000</v>
      </c>
      <c r="AI275" s="240">
        <f t="shared" si="165"/>
        <v>253144000</v>
      </c>
      <c r="AJ275" s="240">
        <f t="shared" si="166"/>
        <v>253144000</v>
      </c>
      <c r="AK275" s="308"/>
      <c r="AL275" s="244"/>
      <c r="AM275" s="236">
        <f t="shared" si="167"/>
        <v>0</v>
      </c>
      <c r="AN275" s="472"/>
    </row>
    <row r="276" spans="1:40" s="473" customFormat="1" ht="19.5" customHeight="1">
      <c r="A276" s="470"/>
      <c r="B276" s="396" t="s">
        <v>1644</v>
      </c>
      <c r="C276" s="304" t="s">
        <v>1645</v>
      </c>
      <c r="D276" s="306"/>
      <c r="E276" s="471"/>
      <c r="F276" s="306"/>
      <c r="G276" s="306"/>
      <c r="H276" s="306"/>
      <c r="I276" s="237"/>
      <c r="J276" s="307"/>
      <c r="K276" s="237"/>
      <c r="L276" s="237"/>
      <c r="M276" s="237"/>
      <c r="N276" s="239">
        <f t="shared" si="160"/>
        <v>500</v>
      </c>
      <c r="O276" s="239"/>
      <c r="P276" s="239">
        <f t="shared" si="168"/>
        <v>500</v>
      </c>
      <c r="Q276" s="239">
        <v>0</v>
      </c>
      <c r="R276" s="239">
        <v>0</v>
      </c>
      <c r="S276" s="239">
        <v>500</v>
      </c>
      <c r="T276" s="307"/>
      <c r="U276" s="306"/>
      <c r="V276" s="240">
        <f t="shared" si="161"/>
        <v>500000000</v>
      </c>
      <c r="W276" s="240">
        <v>500000000</v>
      </c>
      <c r="X276" s="240"/>
      <c r="Y276" s="240"/>
      <c r="Z276" s="308"/>
      <c r="AA276" s="308"/>
      <c r="AB276" s="241">
        <f t="shared" si="162"/>
        <v>0</v>
      </c>
      <c r="AC276" s="242">
        <f t="shared" si="163"/>
        <v>500000000</v>
      </c>
      <c r="AD276" s="308"/>
      <c r="AE276" s="308"/>
      <c r="AF276" s="308">
        <v>500000000</v>
      </c>
      <c r="AG276" s="240"/>
      <c r="AH276" s="240">
        <f t="shared" si="164"/>
        <v>0</v>
      </c>
      <c r="AI276" s="240">
        <f t="shared" si="165"/>
        <v>0</v>
      </c>
      <c r="AJ276" s="240">
        <f t="shared" si="166"/>
        <v>0</v>
      </c>
      <c r="AK276" s="308"/>
      <c r="AL276" s="244"/>
      <c r="AM276" s="236">
        <f t="shared" si="167"/>
        <v>0</v>
      </c>
      <c r="AN276" s="472"/>
    </row>
    <row r="277" spans="1:40" s="321" customFormat="1" ht="19.5" customHeight="1">
      <c r="A277" s="230"/>
      <c r="B277" s="314" t="s">
        <v>1646</v>
      </c>
      <c r="C277" s="250" t="s">
        <v>1355</v>
      </c>
      <c r="D277" s="319" t="s">
        <v>1647</v>
      </c>
      <c r="E277" s="320" t="s">
        <v>1648</v>
      </c>
      <c r="F277" s="235">
        <v>340000</v>
      </c>
      <c r="G277" s="236">
        <v>319726</v>
      </c>
      <c r="H277" s="236">
        <v>282196</v>
      </c>
      <c r="I277" s="237">
        <f aca="true" t="shared" si="169" ref="I277:I285">K277+M277</f>
        <v>10000</v>
      </c>
      <c r="J277" s="238"/>
      <c r="K277" s="237">
        <v>10000</v>
      </c>
      <c r="L277" s="237"/>
      <c r="M277" s="237"/>
      <c r="N277" s="239">
        <f t="shared" si="160"/>
        <v>10000</v>
      </c>
      <c r="O277" s="239"/>
      <c r="P277" s="239">
        <f t="shared" si="168"/>
        <v>10000</v>
      </c>
      <c r="Q277" s="239">
        <v>10000</v>
      </c>
      <c r="R277" s="239">
        <v>0</v>
      </c>
      <c r="S277" s="239">
        <v>0</v>
      </c>
      <c r="T277" s="301"/>
      <c r="U277" s="235"/>
      <c r="V277" s="240">
        <f t="shared" si="161"/>
        <v>0</v>
      </c>
      <c r="W277" s="240"/>
      <c r="X277" s="240"/>
      <c r="Y277" s="240">
        <v>10000000000</v>
      </c>
      <c r="Z277" s="302"/>
      <c r="AA277" s="302"/>
      <c r="AB277" s="241">
        <f t="shared" si="162"/>
        <v>10000000000</v>
      </c>
      <c r="AC277" s="242">
        <f t="shared" si="163"/>
        <v>10000000000</v>
      </c>
      <c r="AD277" s="240">
        <v>10000000000</v>
      </c>
      <c r="AE277" s="302"/>
      <c r="AF277" s="302"/>
      <c r="AG277" s="240"/>
      <c r="AH277" s="240">
        <f t="shared" si="164"/>
        <v>0</v>
      </c>
      <c r="AI277" s="240">
        <f t="shared" si="165"/>
        <v>0</v>
      </c>
      <c r="AJ277" s="240">
        <f t="shared" si="166"/>
        <v>0</v>
      </c>
      <c r="AK277" s="302"/>
      <c r="AL277" s="244"/>
      <c r="AM277" s="236">
        <f t="shared" si="167"/>
        <v>0</v>
      </c>
      <c r="AN277" s="472" t="s">
        <v>1649</v>
      </c>
    </row>
    <row r="278" spans="1:40" s="321" customFormat="1" ht="19.5" customHeight="1">
      <c r="A278" s="230"/>
      <c r="B278" s="314" t="s">
        <v>1650</v>
      </c>
      <c r="C278" s="250" t="s">
        <v>1260</v>
      </c>
      <c r="D278" s="319" t="s">
        <v>1651</v>
      </c>
      <c r="E278" s="320" t="s">
        <v>1652</v>
      </c>
      <c r="F278" s="235">
        <v>106600</v>
      </c>
      <c r="G278" s="236">
        <v>105100</v>
      </c>
      <c r="H278" s="236">
        <v>99600</v>
      </c>
      <c r="I278" s="237">
        <f t="shared" si="169"/>
        <v>5500</v>
      </c>
      <c r="J278" s="238"/>
      <c r="K278" s="237">
        <v>5500</v>
      </c>
      <c r="L278" s="237"/>
      <c r="M278" s="237"/>
      <c r="N278" s="239">
        <f t="shared" si="160"/>
        <v>5500</v>
      </c>
      <c r="O278" s="239"/>
      <c r="P278" s="239">
        <f t="shared" si="168"/>
        <v>5500</v>
      </c>
      <c r="Q278" s="239">
        <v>5500</v>
      </c>
      <c r="R278" s="239">
        <v>0</v>
      </c>
      <c r="S278" s="239">
        <v>0</v>
      </c>
      <c r="T278" s="301"/>
      <c r="U278" s="235"/>
      <c r="V278" s="240">
        <f t="shared" si="161"/>
        <v>0</v>
      </c>
      <c r="W278" s="240"/>
      <c r="X278" s="240"/>
      <c r="Y278" s="240">
        <v>5500000000</v>
      </c>
      <c r="Z278" s="302"/>
      <c r="AA278" s="302"/>
      <c r="AB278" s="241">
        <f t="shared" si="162"/>
        <v>5500000000</v>
      </c>
      <c r="AC278" s="242">
        <f t="shared" si="163"/>
        <v>5500000000</v>
      </c>
      <c r="AD278" s="240">
        <v>5500000000</v>
      </c>
      <c r="AE278" s="302"/>
      <c r="AF278" s="302"/>
      <c r="AG278" s="240"/>
      <c r="AH278" s="240">
        <f t="shared" si="164"/>
        <v>0</v>
      </c>
      <c r="AI278" s="240">
        <f t="shared" si="165"/>
        <v>0</v>
      </c>
      <c r="AJ278" s="240">
        <f t="shared" si="166"/>
        <v>0</v>
      </c>
      <c r="AK278" s="302"/>
      <c r="AL278" s="244"/>
      <c r="AM278" s="236">
        <f t="shared" si="167"/>
        <v>0</v>
      </c>
      <c r="AN278" s="472" t="s">
        <v>1649</v>
      </c>
    </row>
    <row r="279" spans="1:40" s="321" customFormat="1" ht="19.5" customHeight="1">
      <c r="A279" s="230"/>
      <c r="B279" s="314" t="s">
        <v>1653</v>
      </c>
      <c r="C279" s="250" t="s">
        <v>1051</v>
      </c>
      <c r="D279" s="319" t="s">
        <v>1654</v>
      </c>
      <c r="E279" s="320" t="s">
        <v>1655</v>
      </c>
      <c r="F279" s="235">
        <v>70000</v>
      </c>
      <c r="G279" s="236">
        <v>43000</v>
      </c>
      <c r="H279" s="236">
        <v>21500</v>
      </c>
      <c r="I279" s="237">
        <f t="shared" si="169"/>
        <v>16700</v>
      </c>
      <c r="J279" s="238"/>
      <c r="K279" s="237">
        <v>16700</v>
      </c>
      <c r="L279" s="237"/>
      <c r="M279" s="237"/>
      <c r="N279" s="239">
        <f t="shared" si="160"/>
        <v>16187.344392</v>
      </c>
      <c r="O279" s="239"/>
      <c r="P279" s="239">
        <f t="shared" si="168"/>
        <v>16187.344392</v>
      </c>
      <c r="Q279" s="239">
        <v>16187.344392</v>
      </c>
      <c r="R279" s="239">
        <v>0</v>
      </c>
      <c r="S279" s="239">
        <v>0</v>
      </c>
      <c r="T279" s="301"/>
      <c r="U279" s="235"/>
      <c r="V279" s="240">
        <f t="shared" si="161"/>
        <v>0</v>
      </c>
      <c r="W279" s="240"/>
      <c r="X279" s="240"/>
      <c r="Y279" s="240">
        <v>16700000000</v>
      </c>
      <c r="Z279" s="302"/>
      <c r="AA279" s="302"/>
      <c r="AB279" s="241">
        <f t="shared" si="162"/>
        <v>16700000000</v>
      </c>
      <c r="AC279" s="242">
        <f t="shared" si="163"/>
        <v>16187344392</v>
      </c>
      <c r="AD279" s="259">
        <v>16187344392</v>
      </c>
      <c r="AE279" s="302"/>
      <c r="AF279" s="302"/>
      <c r="AG279" s="240"/>
      <c r="AH279" s="240">
        <f t="shared" si="164"/>
        <v>512655608</v>
      </c>
      <c r="AI279" s="240">
        <f t="shared" si="165"/>
        <v>495559000</v>
      </c>
      <c r="AJ279" s="240">
        <f t="shared" si="166"/>
        <v>0</v>
      </c>
      <c r="AK279" s="242">
        <v>495559000</v>
      </c>
      <c r="AL279" s="244">
        <v>17096608</v>
      </c>
      <c r="AM279" s="236">
        <f t="shared" si="167"/>
        <v>0</v>
      </c>
      <c r="AN279" s="472" t="s">
        <v>1649</v>
      </c>
    </row>
    <row r="280" spans="1:40" s="321" customFormat="1" ht="19.5" customHeight="1">
      <c r="A280" s="230"/>
      <c r="B280" s="314" t="s">
        <v>1656</v>
      </c>
      <c r="C280" s="250" t="s">
        <v>1657</v>
      </c>
      <c r="D280" s="319"/>
      <c r="E280" s="320"/>
      <c r="F280" s="235"/>
      <c r="G280" s="236"/>
      <c r="H280" s="236"/>
      <c r="I280" s="237">
        <f t="shared" si="169"/>
        <v>16719</v>
      </c>
      <c r="J280" s="238"/>
      <c r="K280" s="237">
        <v>16719</v>
      </c>
      <c r="L280" s="237"/>
      <c r="M280" s="237"/>
      <c r="N280" s="239">
        <f t="shared" si="160"/>
        <v>16703.408</v>
      </c>
      <c r="O280" s="239"/>
      <c r="P280" s="239">
        <f t="shared" si="168"/>
        <v>16703.408</v>
      </c>
      <c r="Q280" s="239">
        <v>16703.408</v>
      </c>
      <c r="R280" s="239">
        <v>0</v>
      </c>
      <c r="S280" s="239">
        <v>0</v>
      </c>
      <c r="T280" s="301"/>
      <c r="U280" s="235"/>
      <c r="V280" s="240">
        <f t="shared" si="161"/>
        <v>0</v>
      </c>
      <c r="W280" s="240"/>
      <c r="X280" s="240"/>
      <c r="Y280" s="240">
        <f>3719000000+13000000000</f>
        <v>16719000000</v>
      </c>
      <c r="Z280" s="302"/>
      <c r="AA280" s="302"/>
      <c r="AB280" s="241">
        <f t="shared" si="162"/>
        <v>16719000000</v>
      </c>
      <c r="AC280" s="242">
        <f t="shared" si="163"/>
        <v>16703408000</v>
      </c>
      <c r="AD280" s="259">
        <f>12984408000+3719000000</f>
        <v>16703408000</v>
      </c>
      <c r="AE280" s="302"/>
      <c r="AF280" s="302"/>
      <c r="AG280" s="240"/>
      <c r="AH280" s="240">
        <f t="shared" si="164"/>
        <v>15592000</v>
      </c>
      <c r="AI280" s="240">
        <f t="shared" si="165"/>
        <v>0</v>
      </c>
      <c r="AJ280" s="240">
        <f t="shared" si="166"/>
        <v>0</v>
      </c>
      <c r="AK280" s="302"/>
      <c r="AL280" s="244">
        <v>15592000</v>
      </c>
      <c r="AM280" s="236">
        <f t="shared" si="167"/>
        <v>0</v>
      </c>
      <c r="AN280" s="472" t="s">
        <v>1658</v>
      </c>
    </row>
    <row r="281" spans="1:41" s="474" customFormat="1" ht="19.5" customHeight="1">
      <c r="A281" s="275"/>
      <c r="B281" s="287" t="s">
        <v>1329</v>
      </c>
      <c r="C281" s="288"/>
      <c r="D281" s="288"/>
      <c r="E281" s="289"/>
      <c r="F281" s="291"/>
      <c r="G281" s="291"/>
      <c r="H281" s="291"/>
      <c r="I281" s="282">
        <f>SUM(I282:I291)</f>
        <v>83800</v>
      </c>
      <c r="J281" s="282">
        <f aca="true" t="shared" si="170" ref="J281:AO281">SUM(J282:J291)</f>
        <v>0</v>
      </c>
      <c r="K281" s="282">
        <f t="shared" si="170"/>
        <v>83800</v>
      </c>
      <c r="L281" s="282">
        <f t="shared" si="170"/>
        <v>0</v>
      </c>
      <c r="M281" s="282">
        <f t="shared" si="170"/>
        <v>0</v>
      </c>
      <c r="N281" s="282">
        <f t="shared" si="170"/>
        <v>81739.90415</v>
      </c>
      <c r="O281" s="282">
        <f t="shared" si="170"/>
        <v>0</v>
      </c>
      <c r="P281" s="282">
        <f t="shared" si="170"/>
        <v>81739.90415</v>
      </c>
      <c r="Q281" s="282">
        <f t="shared" si="170"/>
        <v>78942.077</v>
      </c>
      <c r="R281" s="282">
        <f t="shared" si="170"/>
        <v>0</v>
      </c>
      <c r="S281" s="282">
        <f t="shared" si="170"/>
        <v>2797.82715</v>
      </c>
      <c r="T281" s="282">
        <f t="shared" si="170"/>
        <v>0</v>
      </c>
      <c r="U281" s="282">
        <f t="shared" si="170"/>
        <v>0</v>
      </c>
      <c r="V281" s="282">
        <f t="shared" si="170"/>
        <v>4073838755</v>
      </c>
      <c r="W281" s="282">
        <f t="shared" si="170"/>
        <v>4073838755</v>
      </c>
      <c r="X281" s="282">
        <f t="shared" si="170"/>
        <v>0</v>
      </c>
      <c r="Y281" s="282">
        <f t="shared" si="170"/>
        <v>83800000000</v>
      </c>
      <c r="Z281" s="282">
        <f t="shared" si="170"/>
        <v>0</v>
      </c>
      <c r="AA281" s="282">
        <f t="shared" si="170"/>
        <v>0</v>
      </c>
      <c r="AB281" s="282">
        <f t="shared" si="170"/>
        <v>83800000000</v>
      </c>
      <c r="AC281" s="282">
        <f t="shared" si="170"/>
        <v>81739904150</v>
      </c>
      <c r="AD281" s="282">
        <f t="shared" si="170"/>
        <v>78942077000</v>
      </c>
      <c r="AE281" s="282">
        <f t="shared" si="170"/>
        <v>0</v>
      </c>
      <c r="AF281" s="282">
        <f t="shared" si="170"/>
        <v>2797827150</v>
      </c>
      <c r="AG281" s="282">
        <f t="shared" si="170"/>
        <v>425178000</v>
      </c>
      <c r="AH281" s="282">
        <f t="shared" si="170"/>
        <v>5373176605</v>
      </c>
      <c r="AI281" s="282">
        <f t="shared" si="170"/>
        <v>3255611605</v>
      </c>
      <c r="AJ281" s="282">
        <f t="shared" si="170"/>
        <v>850833605</v>
      </c>
      <c r="AK281" s="282">
        <f t="shared" si="170"/>
        <v>2404778000</v>
      </c>
      <c r="AL281" s="282">
        <f t="shared" si="170"/>
        <v>2117565000</v>
      </c>
      <c r="AM281" s="282">
        <f t="shared" si="170"/>
        <v>335580000</v>
      </c>
      <c r="AN281" s="282">
        <f t="shared" si="170"/>
        <v>0</v>
      </c>
      <c r="AO281" s="282">
        <f t="shared" si="170"/>
        <v>0</v>
      </c>
    </row>
    <row r="282" spans="1:40" s="321" customFormat="1" ht="19.5" customHeight="1">
      <c r="A282" s="230"/>
      <c r="B282" s="314" t="s">
        <v>1659</v>
      </c>
      <c r="C282" s="250" t="s">
        <v>1341</v>
      </c>
      <c r="D282" s="319" t="s">
        <v>1660</v>
      </c>
      <c r="E282" s="320" t="s">
        <v>1661</v>
      </c>
      <c r="F282" s="235">
        <v>29330</v>
      </c>
      <c r="G282" s="236">
        <v>20460</v>
      </c>
      <c r="H282" s="236">
        <v>20460</v>
      </c>
      <c r="I282" s="237">
        <f t="shared" si="169"/>
        <v>8500</v>
      </c>
      <c r="J282" s="238"/>
      <c r="K282" s="237">
        <v>8500</v>
      </c>
      <c r="L282" s="237"/>
      <c r="M282" s="237"/>
      <c r="N282" s="239">
        <f t="shared" si="160"/>
        <v>8422.016</v>
      </c>
      <c r="O282" s="239"/>
      <c r="P282" s="239">
        <f aca="true" t="shared" si="171" ref="P282:P291">SUM(Q282:S282)</f>
        <v>8422.016</v>
      </c>
      <c r="Q282" s="239">
        <v>8422.016</v>
      </c>
      <c r="R282" s="239">
        <v>0</v>
      </c>
      <c r="S282" s="239">
        <v>0</v>
      </c>
      <c r="T282" s="301"/>
      <c r="U282" s="235"/>
      <c r="V282" s="240">
        <f t="shared" si="161"/>
        <v>0</v>
      </c>
      <c r="W282" s="240"/>
      <c r="X282" s="240"/>
      <c r="Y282" s="240">
        <v>8500000000</v>
      </c>
      <c r="Z282" s="302"/>
      <c r="AA282" s="302"/>
      <c r="AB282" s="241">
        <f t="shared" si="162"/>
        <v>8500000000</v>
      </c>
      <c r="AC282" s="242">
        <f t="shared" si="163"/>
        <v>8422016000</v>
      </c>
      <c r="AD282" s="475">
        <v>8422016000</v>
      </c>
      <c r="AE282" s="302"/>
      <c r="AF282" s="302"/>
      <c r="AG282" s="240"/>
      <c r="AH282" s="240">
        <f t="shared" si="164"/>
        <v>0</v>
      </c>
      <c r="AI282" s="240">
        <f t="shared" si="165"/>
        <v>0</v>
      </c>
      <c r="AJ282" s="240">
        <f t="shared" si="166"/>
        <v>0</v>
      </c>
      <c r="AK282" s="302"/>
      <c r="AL282" s="244"/>
      <c r="AM282" s="236">
        <f t="shared" si="167"/>
        <v>77984000</v>
      </c>
      <c r="AN282" s="472" t="s">
        <v>1649</v>
      </c>
    </row>
    <row r="283" spans="1:40" s="321" customFormat="1" ht="19.5" customHeight="1">
      <c r="A283" s="230"/>
      <c r="B283" s="314" t="s">
        <v>1662</v>
      </c>
      <c r="C283" s="250" t="s">
        <v>1341</v>
      </c>
      <c r="D283" s="319" t="s">
        <v>1517</v>
      </c>
      <c r="E283" s="320"/>
      <c r="F283" s="235">
        <v>20340</v>
      </c>
      <c r="G283" s="236">
        <v>5000</v>
      </c>
      <c r="H283" s="236">
        <v>5000</v>
      </c>
      <c r="I283" s="237">
        <f t="shared" si="169"/>
        <v>7000</v>
      </c>
      <c r="J283" s="238"/>
      <c r="K283" s="237">
        <v>7000</v>
      </c>
      <c r="L283" s="237"/>
      <c r="M283" s="237"/>
      <c r="N283" s="239">
        <f t="shared" si="160"/>
        <v>7000</v>
      </c>
      <c r="O283" s="239"/>
      <c r="P283" s="239">
        <f t="shared" si="171"/>
        <v>7000</v>
      </c>
      <c r="Q283" s="239">
        <v>7000</v>
      </c>
      <c r="R283" s="239">
        <v>0</v>
      </c>
      <c r="S283" s="239">
        <v>0</v>
      </c>
      <c r="T283" s="301"/>
      <c r="U283" s="235"/>
      <c r="V283" s="240">
        <f t="shared" si="161"/>
        <v>0</v>
      </c>
      <c r="W283" s="240"/>
      <c r="X283" s="240"/>
      <c r="Y283" s="240">
        <v>7000000000</v>
      </c>
      <c r="Z283" s="302"/>
      <c r="AA283" s="302"/>
      <c r="AB283" s="241">
        <f t="shared" si="162"/>
        <v>7000000000</v>
      </c>
      <c r="AC283" s="242">
        <f t="shared" si="163"/>
        <v>7000000000</v>
      </c>
      <c r="AD283" s="476">
        <v>7000000000</v>
      </c>
      <c r="AE283" s="302"/>
      <c r="AF283" s="302"/>
      <c r="AG283" s="240"/>
      <c r="AH283" s="240">
        <f t="shared" si="164"/>
        <v>0</v>
      </c>
      <c r="AI283" s="240">
        <f t="shared" si="165"/>
        <v>0</v>
      </c>
      <c r="AJ283" s="240">
        <f t="shared" si="166"/>
        <v>0</v>
      </c>
      <c r="AK283" s="302"/>
      <c r="AL283" s="244"/>
      <c r="AM283" s="236">
        <f t="shared" si="167"/>
        <v>0</v>
      </c>
      <c r="AN283" s="472" t="s">
        <v>1649</v>
      </c>
    </row>
    <row r="284" spans="1:40" s="321" customFormat="1" ht="19.5" customHeight="1">
      <c r="A284" s="230"/>
      <c r="B284" s="314" t="s">
        <v>1663</v>
      </c>
      <c r="C284" s="250" t="s">
        <v>1051</v>
      </c>
      <c r="D284" s="319" t="s">
        <v>1592</v>
      </c>
      <c r="E284" s="320" t="s">
        <v>1664</v>
      </c>
      <c r="F284" s="235">
        <v>20400</v>
      </c>
      <c r="G284" s="236">
        <v>11183</v>
      </c>
      <c r="H284" s="236">
        <v>11183</v>
      </c>
      <c r="I284" s="237">
        <f t="shared" si="169"/>
        <v>9217</v>
      </c>
      <c r="J284" s="238"/>
      <c r="K284" s="237">
        <v>9217</v>
      </c>
      <c r="L284" s="237"/>
      <c r="M284" s="237"/>
      <c r="N284" s="239">
        <f t="shared" si="160"/>
        <v>7791.049</v>
      </c>
      <c r="O284" s="239"/>
      <c r="P284" s="239">
        <f t="shared" si="171"/>
        <v>7791.049</v>
      </c>
      <c r="Q284" s="239">
        <v>7791.049</v>
      </c>
      <c r="R284" s="239">
        <v>0</v>
      </c>
      <c r="S284" s="239">
        <v>0</v>
      </c>
      <c r="T284" s="301"/>
      <c r="U284" s="235"/>
      <c r="V284" s="240">
        <f t="shared" si="161"/>
        <v>0</v>
      </c>
      <c r="W284" s="240"/>
      <c r="X284" s="240"/>
      <c r="Y284" s="240">
        <v>9217000000</v>
      </c>
      <c r="Z284" s="302"/>
      <c r="AA284" s="302"/>
      <c r="AB284" s="241">
        <f t="shared" si="162"/>
        <v>9217000000</v>
      </c>
      <c r="AC284" s="242">
        <f t="shared" si="163"/>
        <v>7791049000</v>
      </c>
      <c r="AD284" s="259">
        <v>7791049000</v>
      </c>
      <c r="AE284" s="302"/>
      <c r="AF284" s="302"/>
      <c r="AG284" s="240"/>
      <c r="AH284" s="240">
        <f t="shared" si="164"/>
        <v>1425951000</v>
      </c>
      <c r="AI284" s="240">
        <f t="shared" si="165"/>
        <v>1327391000</v>
      </c>
      <c r="AJ284" s="240">
        <f t="shared" si="166"/>
        <v>0</v>
      </c>
      <c r="AK284" s="242">
        <v>1327391000</v>
      </c>
      <c r="AL284" s="244">
        <v>98560000</v>
      </c>
      <c r="AM284" s="236">
        <f t="shared" si="167"/>
        <v>0</v>
      </c>
      <c r="AN284" s="472" t="s">
        <v>1649</v>
      </c>
    </row>
    <row r="285" spans="1:40" s="321" customFormat="1" ht="19.5" customHeight="1">
      <c r="A285" s="230"/>
      <c r="B285" s="314" t="s">
        <v>1665</v>
      </c>
      <c r="C285" s="250" t="s">
        <v>1051</v>
      </c>
      <c r="D285" s="319" t="s">
        <v>1517</v>
      </c>
      <c r="E285" s="320" t="s">
        <v>1666</v>
      </c>
      <c r="F285" s="235">
        <v>14900</v>
      </c>
      <c r="G285" s="236">
        <v>8100</v>
      </c>
      <c r="H285" s="236">
        <v>8100</v>
      </c>
      <c r="I285" s="237">
        <f t="shared" si="169"/>
        <v>6100</v>
      </c>
      <c r="J285" s="238"/>
      <c r="K285" s="237">
        <v>6100</v>
      </c>
      <c r="L285" s="237"/>
      <c r="M285" s="237"/>
      <c r="N285" s="239">
        <f t="shared" si="160"/>
        <v>5777.168</v>
      </c>
      <c r="O285" s="239"/>
      <c r="P285" s="239">
        <f t="shared" si="171"/>
        <v>5777.168</v>
      </c>
      <c r="Q285" s="239">
        <v>5777.168</v>
      </c>
      <c r="R285" s="239">
        <v>0</v>
      </c>
      <c r="S285" s="239">
        <v>0</v>
      </c>
      <c r="T285" s="301"/>
      <c r="U285" s="235"/>
      <c r="V285" s="240">
        <f t="shared" si="161"/>
        <v>0</v>
      </c>
      <c r="W285" s="240"/>
      <c r="X285" s="240"/>
      <c r="Y285" s="240">
        <v>6100000000</v>
      </c>
      <c r="Z285" s="302"/>
      <c r="AA285" s="302"/>
      <c r="AB285" s="241">
        <f t="shared" si="162"/>
        <v>6100000000</v>
      </c>
      <c r="AC285" s="242">
        <f t="shared" si="163"/>
        <v>5777168000</v>
      </c>
      <c r="AD285" s="259">
        <v>5777168000</v>
      </c>
      <c r="AE285" s="302"/>
      <c r="AF285" s="302"/>
      <c r="AG285" s="240"/>
      <c r="AH285" s="240">
        <f t="shared" si="164"/>
        <v>322832000</v>
      </c>
      <c r="AI285" s="240">
        <f t="shared" si="165"/>
        <v>122022000</v>
      </c>
      <c r="AJ285" s="240">
        <f t="shared" si="166"/>
        <v>0</v>
      </c>
      <c r="AK285" s="242">
        <v>122022000</v>
      </c>
      <c r="AL285" s="244">
        <v>200810000</v>
      </c>
      <c r="AM285" s="236">
        <f t="shared" si="167"/>
        <v>0</v>
      </c>
      <c r="AN285" s="472" t="s">
        <v>1649</v>
      </c>
    </row>
    <row r="286" spans="1:40" s="321" customFormat="1" ht="19.5" customHeight="1">
      <c r="A286" s="230"/>
      <c r="B286" s="231" t="s">
        <v>1667</v>
      </c>
      <c r="C286" s="250" t="s">
        <v>1371</v>
      </c>
      <c r="D286" s="230" t="s">
        <v>1668</v>
      </c>
      <c r="E286" s="320" t="s">
        <v>1669</v>
      </c>
      <c r="F286" s="235">
        <v>44472</v>
      </c>
      <c r="G286" s="236">
        <v>44472</v>
      </c>
      <c r="H286" s="236">
        <v>26700</v>
      </c>
      <c r="I286" s="237">
        <f>K286+M286</f>
        <v>12000</v>
      </c>
      <c r="J286" s="238"/>
      <c r="K286" s="237">
        <v>12000</v>
      </c>
      <c r="L286" s="237"/>
      <c r="M286" s="237"/>
      <c r="N286" s="239">
        <f t="shared" si="160"/>
        <v>12000</v>
      </c>
      <c r="O286" s="239"/>
      <c r="P286" s="239">
        <f t="shared" si="171"/>
        <v>12000</v>
      </c>
      <c r="Q286" s="239">
        <v>12000</v>
      </c>
      <c r="R286" s="239">
        <v>0</v>
      </c>
      <c r="S286" s="239">
        <v>0</v>
      </c>
      <c r="T286" s="301"/>
      <c r="U286" s="235"/>
      <c r="V286" s="240">
        <f t="shared" si="161"/>
        <v>0</v>
      </c>
      <c r="W286" s="240"/>
      <c r="X286" s="240"/>
      <c r="Y286" s="240">
        <v>12000000000</v>
      </c>
      <c r="Z286" s="302"/>
      <c r="AA286" s="302"/>
      <c r="AB286" s="241">
        <f t="shared" si="162"/>
        <v>12000000000</v>
      </c>
      <c r="AC286" s="242">
        <f t="shared" si="163"/>
        <v>12000000000</v>
      </c>
      <c r="AD286" s="240">
        <v>12000000000</v>
      </c>
      <c r="AE286" s="302"/>
      <c r="AF286" s="302"/>
      <c r="AG286" s="240"/>
      <c r="AH286" s="240">
        <f t="shared" si="164"/>
        <v>0</v>
      </c>
      <c r="AI286" s="240">
        <f t="shared" si="165"/>
        <v>0</v>
      </c>
      <c r="AJ286" s="240">
        <f t="shared" si="166"/>
        <v>0</v>
      </c>
      <c r="AK286" s="302"/>
      <c r="AL286" s="244"/>
      <c r="AM286" s="236">
        <f t="shared" si="167"/>
        <v>0</v>
      </c>
      <c r="AN286" s="472" t="s">
        <v>1649</v>
      </c>
    </row>
    <row r="287" spans="1:40" s="321" customFormat="1" ht="28.5" customHeight="1">
      <c r="A287" s="230"/>
      <c r="B287" s="231" t="s">
        <v>1670</v>
      </c>
      <c r="C287" s="250" t="s">
        <v>1553</v>
      </c>
      <c r="D287" s="230" t="s">
        <v>1517</v>
      </c>
      <c r="E287" s="320"/>
      <c r="F287" s="235">
        <v>22600</v>
      </c>
      <c r="G287" s="236">
        <v>15600</v>
      </c>
      <c r="H287" s="236">
        <v>15600</v>
      </c>
      <c r="I287" s="237">
        <f>K287+M287</f>
        <v>7000</v>
      </c>
      <c r="J287" s="238"/>
      <c r="K287" s="237">
        <v>7000</v>
      </c>
      <c r="L287" s="237"/>
      <c r="M287" s="237"/>
      <c r="N287" s="239">
        <f t="shared" si="160"/>
        <v>5181.805</v>
      </c>
      <c r="O287" s="239"/>
      <c r="P287" s="239">
        <f t="shared" si="171"/>
        <v>5181.805</v>
      </c>
      <c r="Q287" s="239">
        <v>5181.805</v>
      </c>
      <c r="R287" s="239">
        <v>0</v>
      </c>
      <c r="S287" s="239">
        <v>0</v>
      </c>
      <c r="T287" s="301"/>
      <c r="U287" s="235"/>
      <c r="V287" s="240">
        <f t="shared" si="161"/>
        <v>0</v>
      </c>
      <c r="W287" s="240"/>
      <c r="X287" s="240"/>
      <c r="Y287" s="240">
        <v>7000000000</v>
      </c>
      <c r="Z287" s="302"/>
      <c r="AA287" s="302"/>
      <c r="AB287" s="241">
        <f t="shared" si="162"/>
        <v>7000000000</v>
      </c>
      <c r="AC287" s="242">
        <f t="shared" si="163"/>
        <v>5181805000</v>
      </c>
      <c r="AD287" s="259">
        <v>5181805000</v>
      </c>
      <c r="AE287" s="302"/>
      <c r="AF287" s="302"/>
      <c r="AG287" s="240"/>
      <c r="AH287" s="240">
        <f t="shared" si="164"/>
        <v>1818195000</v>
      </c>
      <c r="AI287" s="240">
        <f t="shared" si="165"/>
        <v>0</v>
      </c>
      <c r="AJ287" s="240">
        <f t="shared" si="166"/>
        <v>0</v>
      </c>
      <c r="AK287" s="302"/>
      <c r="AL287" s="244">
        <v>1818195000</v>
      </c>
      <c r="AM287" s="236">
        <f t="shared" si="167"/>
        <v>0</v>
      </c>
      <c r="AN287" s="472" t="s">
        <v>1649</v>
      </c>
    </row>
    <row r="288" spans="1:40" s="321" customFormat="1" ht="19.5" customHeight="1">
      <c r="A288" s="230"/>
      <c r="B288" s="231" t="s">
        <v>1671</v>
      </c>
      <c r="C288" s="250" t="s">
        <v>1672</v>
      </c>
      <c r="D288" s="230" t="s">
        <v>1654</v>
      </c>
      <c r="E288" s="320" t="s">
        <v>1673</v>
      </c>
      <c r="F288" s="235">
        <v>64624</v>
      </c>
      <c r="G288" s="236">
        <f>34783</f>
        <v>34783</v>
      </c>
      <c r="H288" s="236">
        <v>22000</v>
      </c>
      <c r="I288" s="237">
        <f>K288+M288</f>
        <v>12783</v>
      </c>
      <c r="J288" s="238"/>
      <c r="K288" s="237">
        <v>12783</v>
      </c>
      <c r="L288" s="237"/>
      <c r="M288" s="237"/>
      <c r="N288" s="239">
        <f t="shared" si="160"/>
        <v>11994.661</v>
      </c>
      <c r="O288" s="239"/>
      <c r="P288" s="239">
        <f t="shared" si="171"/>
        <v>11994.661</v>
      </c>
      <c r="Q288" s="239">
        <v>11994.661</v>
      </c>
      <c r="R288" s="239">
        <v>0</v>
      </c>
      <c r="S288" s="239">
        <v>0</v>
      </c>
      <c r="T288" s="301"/>
      <c r="U288" s="235"/>
      <c r="V288" s="240">
        <f t="shared" si="161"/>
        <v>0</v>
      </c>
      <c r="W288" s="240"/>
      <c r="X288" s="240"/>
      <c r="Y288" s="240">
        <v>12783000000</v>
      </c>
      <c r="Z288" s="302"/>
      <c r="AA288" s="302"/>
      <c r="AB288" s="241">
        <f t="shared" si="162"/>
        <v>12783000000</v>
      </c>
      <c r="AC288" s="242">
        <f t="shared" si="163"/>
        <v>11994661000</v>
      </c>
      <c r="AD288" s="259">
        <v>11994661000</v>
      </c>
      <c r="AE288" s="302"/>
      <c r="AF288" s="302"/>
      <c r="AG288" s="240"/>
      <c r="AH288" s="240">
        <f t="shared" si="164"/>
        <v>788339000</v>
      </c>
      <c r="AI288" s="240">
        <f t="shared" si="165"/>
        <v>788339000</v>
      </c>
      <c r="AJ288" s="240">
        <f t="shared" si="166"/>
        <v>0</v>
      </c>
      <c r="AK288" s="341">
        <v>788339000</v>
      </c>
      <c r="AL288" s="244"/>
      <c r="AM288" s="236">
        <f t="shared" si="167"/>
        <v>0</v>
      </c>
      <c r="AN288" s="472" t="s">
        <v>1649</v>
      </c>
    </row>
    <row r="289" spans="1:40" s="473" customFormat="1" ht="19.5" customHeight="1">
      <c r="A289" s="470"/>
      <c r="B289" s="396" t="s">
        <v>1674</v>
      </c>
      <c r="C289" s="306"/>
      <c r="D289" s="306"/>
      <c r="E289" s="471"/>
      <c r="F289" s="306"/>
      <c r="G289" s="306"/>
      <c r="H289" s="306"/>
      <c r="I289" s="237"/>
      <c r="J289" s="307"/>
      <c r="K289" s="237"/>
      <c r="L289" s="237"/>
      <c r="M289" s="237"/>
      <c r="N289" s="239">
        <f t="shared" si="160"/>
        <v>9.13775</v>
      </c>
      <c r="O289" s="239"/>
      <c r="P289" s="239">
        <f t="shared" si="171"/>
        <v>9.13775</v>
      </c>
      <c r="Q289" s="239">
        <v>0</v>
      </c>
      <c r="R289" s="239">
        <v>0</v>
      </c>
      <c r="S289" s="239">
        <v>9.13775</v>
      </c>
      <c r="T289" s="307"/>
      <c r="U289" s="306"/>
      <c r="V289" s="240">
        <f t="shared" si="161"/>
        <v>95637755</v>
      </c>
      <c r="W289" s="240">
        <v>95637755</v>
      </c>
      <c r="X289" s="240"/>
      <c r="Y289" s="240"/>
      <c r="Z289" s="308"/>
      <c r="AA289" s="308"/>
      <c r="AB289" s="241">
        <f t="shared" si="162"/>
        <v>0</v>
      </c>
      <c r="AC289" s="242">
        <f t="shared" si="163"/>
        <v>9137750</v>
      </c>
      <c r="AD289" s="308"/>
      <c r="AE289" s="308"/>
      <c r="AF289" s="308">
        <v>9137750</v>
      </c>
      <c r="AG289" s="240"/>
      <c r="AH289" s="240">
        <f t="shared" si="164"/>
        <v>86500005</v>
      </c>
      <c r="AI289" s="240">
        <f t="shared" si="165"/>
        <v>86500005</v>
      </c>
      <c r="AJ289" s="240">
        <f t="shared" si="166"/>
        <v>86500005</v>
      </c>
      <c r="AK289" s="308"/>
      <c r="AL289" s="244"/>
      <c r="AM289" s="236">
        <f t="shared" si="167"/>
        <v>0</v>
      </c>
      <c r="AN289" s="472"/>
    </row>
    <row r="290" spans="1:40" s="473" customFormat="1" ht="19.5" customHeight="1">
      <c r="A290" s="470"/>
      <c r="B290" s="396" t="s">
        <v>1675</v>
      </c>
      <c r="C290" s="306"/>
      <c r="D290" s="306"/>
      <c r="E290" s="471"/>
      <c r="F290" s="306"/>
      <c r="G290" s="306"/>
      <c r="H290" s="306"/>
      <c r="I290" s="237"/>
      <c r="J290" s="307"/>
      <c r="K290" s="237"/>
      <c r="L290" s="237"/>
      <c r="M290" s="237"/>
      <c r="N290" s="239">
        <f t="shared" si="160"/>
        <v>2788.6894</v>
      </c>
      <c r="O290" s="239"/>
      <c r="P290" s="239">
        <f t="shared" si="171"/>
        <v>2788.6894</v>
      </c>
      <c r="Q290" s="239">
        <v>0</v>
      </c>
      <c r="R290" s="239">
        <v>0</v>
      </c>
      <c r="S290" s="239">
        <v>2788.6894</v>
      </c>
      <c r="T290" s="307"/>
      <c r="U290" s="306"/>
      <c r="V290" s="240">
        <f t="shared" si="161"/>
        <v>3978201000</v>
      </c>
      <c r="W290" s="240">
        <v>3978201000</v>
      </c>
      <c r="X290" s="240"/>
      <c r="Y290" s="240"/>
      <c r="Z290" s="308"/>
      <c r="AA290" s="308"/>
      <c r="AB290" s="241">
        <f t="shared" si="162"/>
        <v>0</v>
      </c>
      <c r="AC290" s="242">
        <f t="shared" si="163"/>
        <v>2788689400</v>
      </c>
      <c r="AD290" s="308"/>
      <c r="AE290" s="308"/>
      <c r="AF290" s="308">
        <v>2788689400</v>
      </c>
      <c r="AG290" s="240">
        <v>425178000</v>
      </c>
      <c r="AH290" s="240">
        <f t="shared" si="164"/>
        <v>764333600</v>
      </c>
      <c r="AI290" s="240">
        <f t="shared" si="165"/>
        <v>764333600</v>
      </c>
      <c r="AJ290" s="240">
        <f t="shared" si="166"/>
        <v>764333600</v>
      </c>
      <c r="AK290" s="308"/>
      <c r="AL290" s="244"/>
      <c r="AM290" s="236">
        <f t="shared" si="167"/>
        <v>0</v>
      </c>
      <c r="AN290" s="472"/>
    </row>
    <row r="291" spans="1:40" s="321" customFormat="1" ht="19.5" customHeight="1">
      <c r="A291" s="230"/>
      <c r="B291" s="231" t="s">
        <v>1676</v>
      </c>
      <c r="C291" s="250" t="s">
        <v>1341</v>
      </c>
      <c r="D291" s="230" t="s">
        <v>1497</v>
      </c>
      <c r="E291" s="300"/>
      <c r="F291" s="235">
        <v>29263</v>
      </c>
      <c r="G291" s="236">
        <v>8000</v>
      </c>
      <c r="H291" s="318">
        <v>8000</v>
      </c>
      <c r="I291" s="237">
        <f>K291+M291</f>
        <v>21200</v>
      </c>
      <c r="J291" s="477"/>
      <c r="K291" s="237">
        <v>21200</v>
      </c>
      <c r="L291" s="237"/>
      <c r="M291" s="237"/>
      <c r="N291" s="239">
        <f t="shared" si="160"/>
        <v>20775.378</v>
      </c>
      <c r="O291" s="239"/>
      <c r="P291" s="239">
        <f t="shared" si="171"/>
        <v>20775.378</v>
      </c>
      <c r="Q291" s="239">
        <v>20775.378</v>
      </c>
      <c r="R291" s="239">
        <v>0</v>
      </c>
      <c r="S291" s="239">
        <v>0</v>
      </c>
      <c r="T291" s="301"/>
      <c r="U291" s="235"/>
      <c r="V291" s="240">
        <f t="shared" si="161"/>
        <v>0</v>
      </c>
      <c r="W291" s="240"/>
      <c r="X291" s="240"/>
      <c r="Y291" s="240">
        <v>21200000000</v>
      </c>
      <c r="Z291" s="302"/>
      <c r="AA291" s="302"/>
      <c r="AB291" s="241">
        <f t="shared" si="162"/>
        <v>21200000000</v>
      </c>
      <c r="AC291" s="242">
        <f t="shared" si="163"/>
        <v>20775378000</v>
      </c>
      <c r="AD291" s="259">
        <v>20775378000</v>
      </c>
      <c r="AE291" s="302"/>
      <c r="AF291" s="302"/>
      <c r="AG291" s="240"/>
      <c r="AH291" s="240">
        <f t="shared" si="164"/>
        <v>167026000</v>
      </c>
      <c r="AI291" s="240">
        <f t="shared" si="165"/>
        <v>167026000</v>
      </c>
      <c r="AJ291" s="240">
        <f t="shared" si="166"/>
        <v>0</v>
      </c>
      <c r="AK291" s="341">
        <v>167026000</v>
      </c>
      <c r="AL291" s="244"/>
      <c r="AM291" s="236">
        <f t="shared" si="167"/>
        <v>257596000</v>
      </c>
      <c r="AN291" s="472" t="s">
        <v>1649</v>
      </c>
    </row>
    <row r="292" spans="1:41" s="321" customFormat="1" ht="19.5" customHeight="1">
      <c r="A292" s="216">
        <v>2</v>
      </c>
      <c r="B292" s="286" t="s">
        <v>1677</v>
      </c>
      <c r="C292" s="218"/>
      <c r="D292" s="218"/>
      <c r="E292" s="219"/>
      <c r="F292" s="221"/>
      <c r="G292" s="221"/>
      <c r="H292" s="221"/>
      <c r="I292" s="222">
        <f>SUM(I293)</f>
        <v>70000</v>
      </c>
      <c r="J292" s="222">
        <f aca="true" t="shared" si="172" ref="J292:T292">SUM(J293)</f>
        <v>0</v>
      </c>
      <c r="K292" s="222">
        <f t="shared" si="172"/>
        <v>70000</v>
      </c>
      <c r="L292" s="222">
        <f t="shared" si="172"/>
        <v>0</v>
      </c>
      <c r="M292" s="222">
        <f t="shared" si="172"/>
        <v>0</v>
      </c>
      <c r="N292" s="222">
        <f t="shared" si="172"/>
        <v>59889.44</v>
      </c>
      <c r="O292" s="222">
        <f t="shared" si="172"/>
        <v>0</v>
      </c>
      <c r="P292" s="222">
        <f t="shared" si="172"/>
        <v>59889.44</v>
      </c>
      <c r="Q292" s="222">
        <f t="shared" si="172"/>
        <v>59253.22</v>
      </c>
      <c r="R292" s="222">
        <f t="shared" si="172"/>
        <v>0</v>
      </c>
      <c r="S292" s="222">
        <f t="shared" si="172"/>
        <v>0</v>
      </c>
      <c r="T292" s="222">
        <f t="shared" si="172"/>
        <v>0</v>
      </c>
      <c r="U292" s="222">
        <f>SUM(U293)</f>
        <v>0</v>
      </c>
      <c r="V292" s="222">
        <f aca="true" t="shared" si="173" ref="V292:AO292">SUM(V293)</f>
        <v>0</v>
      </c>
      <c r="W292" s="222">
        <f t="shared" si="173"/>
        <v>0</v>
      </c>
      <c r="X292" s="222">
        <f t="shared" si="173"/>
        <v>0</v>
      </c>
      <c r="Y292" s="222">
        <f t="shared" si="173"/>
        <v>0</v>
      </c>
      <c r="Z292" s="222">
        <f t="shared" si="173"/>
        <v>0</v>
      </c>
      <c r="AA292" s="222">
        <f t="shared" si="173"/>
        <v>0</v>
      </c>
      <c r="AB292" s="222">
        <f t="shared" si="173"/>
        <v>0</v>
      </c>
      <c r="AC292" s="222">
        <f t="shared" si="173"/>
        <v>0</v>
      </c>
      <c r="AD292" s="222">
        <f t="shared" si="173"/>
        <v>0</v>
      </c>
      <c r="AE292" s="222">
        <f t="shared" si="173"/>
        <v>0</v>
      </c>
      <c r="AF292" s="222">
        <f t="shared" si="173"/>
        <v>0</v>
      </c>
      <c r="AG292" s="222">
        <f t="shared" si="173"/>
        <v>0</v>
      </c>
      <c r="AH292" s="222">
        <f t="shared" si="173"/>
        <v>0</v>
      </c>
      <c r="AI292" s="222">
        <f t="shared" si="173"/>
        <v>0</v>
      </c>
      <c r="AJ292" s="222">
        <f t="shared" si="173"/>
        <v>0</v>
      </c>
      <c r="AK292" s="222">
        <f t="shared" si="173"/>
        <v>0</v>
      </c>
      <c r="AL292" s="222">
        <f t="shared" si="173"/>
        <v>0</v>
      </c>
      <c r="AM292" s="222">
        <f t="shared" si="173"/>
        <v>0</v>
      </c>
      <c r="AN292" s="222">
        <f t="shared" si="173"/>
        <v>0</v>
      </c>
      <c r="AO292" s="222">
        <f t="shared" si="173"/>
        <v>0</v>
      </c>
    </row>
    <row r="293" spans="1:40" s="321" customFormat="1" ht="19.5" customHeight="1">
      <c r="A293" s="216"/>
      <c r="B293" s="286" t="s">
        <v>1329</v>
      </c>
      <c r="C293" s="218"/>
      <c r="D293" s="218"/>
      <c r="E293" s="219"/>
      <c r="F293" s="221"/>
      <c r="G293" s="221"/>
      <c r="H293" s="221"/>
      <c r="I293" s="237">
        <f>SUM(I294:I298)</f>
        <v>70000</v>
      </c>
      <c r="J293" s="237">
        <f aca="true" t="shared" si="174" ref="J293:T293">SUM(J294:J298)</f>
        <v>0</v>
      </c>
      <c r="K293" s="237">
        <f t="shared" si="174"/>
        <v>70000</v>
      </c>
      <c r="L293" s="237">
        <f t="shared" si="174"/>
        <v>0</v>
      </c>
      <c r="M293" s="237">
        <f t="shared" si="174"/>
        <v>0</v>
      </c>
      <c r="N293" s="237">
        <f t="shared" si="174"/>
        <v>59889.44</v>
      </c>
      <c r="O293" s="237">
        <f t="shared" si="174"/>
        <v>0</v>
      </c>
      <c r="P293" s="237">
        <f t="shared" si="174"/>
        <v>59889.44</v>
      </c>
      <c r="Q293" s="237">
        <f t="shared" si="174"/>
        <v>59253.22</v>
      </c>
      <c r="R293" s="237">
        <f t="shared" si="174"/>
        <v>0</v>
      </c>
      <c r="S293" s="237">
        <f t="shared" si="174"/>
        <v>0</v>
      </c>
      <c r="T293" s="237">
        <f t="shared" si="174"/>
        <v>0</v>
      </c>
      <c r="U293" s="221"/>
      <c r="V293" s="240">
        <f>W293+X293</f>
        <v>0</v>
      </c>
      <c r="W293" s="240"/>
      <c r="X293" s="240"/>
      <c r="Y293" s="240"/>
      <c r="Z293" s="223"/>
      <c r="AA293" s="223"/>
      <c r="AB293" s="241">
        <f>Y293+Z293-AA293+X293</f>
        <v>0</v>
      </c>
      <c r="AC293" s="242">
        <f>AD293+AE293+AF293</f>
        <v>0</v>
      </c>
      <c r="AD293" s="223"/>
      <c r="AE293" s="223"/>
      <c r="AF293" s="223"/>
      <c r="AG293" s="240"/>
      <c r="AH293" s="240">
        <f>AI293+AL293</f>
        <v>0</v>
      </c>
      <c r="AI293" s="240">
        <f>SUM(AJ293:AK293)</f>
        <v>0</v>
      </c>
      <c r="AJ293" s="240">
        <f>W293-AF293-AG293</f>
        <v>0</v>
      </c>
      <c r="AK293" s="223"/>
      <c r="AL293" s="244"/>
      <c r="AM293" s="236">
        <f>AB293-AD293-AE293-AK293-AL293</f>
        <v>0</v>
      </c>
      <c r="AN293" s="224"/>
    </row>
    <row r="294" spans="1:40" s="321" customFormat="1" ht="19.5" customHeight="1">
      <c r="A294" s="216"/>
      <c r="B294" s="478" t="s">
        <v>1678</v>
      </c>
      <c r="C294" s="218"/>
      <c r="D294" s="218"/>
      <c r="E294" s="219"/>
      <c r="F294" s="221"/>
      <c r="G294" s="221"/>
      <c r="H294" s="221"/>
      <c r="I294" s="237"/>
      <c r="J294" s="237"/>
      <c r="K294" s="237"/>
      <c r="L294" s="237"/>
      <c r="M294" s="237"/>
      <c r="N294" s="237">
        <f>SUM(U294,P294)</f>
        <v>636.22</v>
      </c>
      <c r="O294" s="237"/>
      <c r="P294" s="237">
        <v>636.22</v>
      </c>
      <c r="Q294" s="237"/>
      <c r="R294" s="237"/>
      <c r="S294" s="237"/>
      <c r="T294" s="237"/>
      <c r="U294" s="221"/>
      <c r="V294" s="240"/>
      <c r="W294" s="240"/>
      <c r="X294" s="240"/>
      <c r="Y294" s="240"/>
      <c r="Z294" s="223"/>
      <c r="AA294" s="223"/>
      <c r="AB294" s="241"/>
      <c r="AC294" s="242"/>
      <c r="AD294" s="223"/>
      <c r="AE294" s="223"/>
      <c r="AF294" s="223"/>
      <c r="AG294" s="240"/>
      <c r="AH294" s="240"/>
      <c r="AI294" s="240"/>
      <c r="AJ294" s="240"/>
      <c r="AK294" s="223"/>
      <c r="AL294" s="244"/>
      <c r="AM294" s="236"/>
      <c r="AN294" s="224"/>
    </row>
    <row r="295" spans="1:40" s="321" customFormat="1" ht="19.5" customHeight="1">
      <c r="A295" s="230"/>
      <c r="B295" s="323" t="s">
        <v>1679</v>
      </c>
      <c r="C295" s="232" t="s">
        <v>1397</v>
      </c>
      <c r="D295" s="232" t="s">
        <v>1380</v>
      </c>
      <c r="E295" s="234" t="s">
        <v>1680</v>
      </c>
      <c r="F295" s="235">
        <v>39500</v>
      </c>
      <c r="G295" s="236">
        <v>32000</v>
      </c>
      <c r="H295" s="236">
        <v>32000</v>
      </c>
      <c r="I295" s="237">
        <f>K295+M295</f>
        <v>7500</v>
      </c>
      <c r="J295" s="238"/>
      <c r="K295" s="237">
        <v>7500</v>
      </c>
      <c r="L295" s="237"/>
      <c r="M295" s="237"/>
      <c r="N295" s="239">
        <f>Q295+R295+S295</f>
        <v>7500</v>
      </c>
      <c r="O295" s="239"/>
      <c r="P295" s="239">
        <f>SUM(Q295:S295)</f>
        <v>7500</v>
      </c>
      <c r="Q295" s="239">
        <v>7500</v>
      </c>
      <c r="R295" s="239">
        <v>0</v>
      </c>
      <c r="S295" s="239">
        <v>0</v>
      </c>
      <c r="T295" s="301"/>
      <c r="U295" s="235"/>
      <c r="V295" s="240">
        <f>W295+X295</f>
        <v>0</v>
      </c>
      <c r="W295" s="240"/>
      <c r="X295" s="240"/>
      <c r="Y295" s="240">
        <v>7500000000</v>
      </c>
      <c r="Z295" s="302"/>
      <c r="AA295" s="302"/>
      <c r="AB295" s="241">
        <f>Y295+Z295-AA295+X295</f>
        <v>7500000000</v>
      </c>
      <c r="AC295" s="242">
        <f>AD295+AE295+AF295</f>
        <v>7500000000</v>
      </c>
      <c r="AD295" s="240">
        <v>7500000000</v>
      </c>
      <c r="AE295" s="302"/>
      <c r="AF295" s="302"/>
      <c r="AG295" s="240"/>
      <c r="AH295" s="240">
        <f>AI295+AL295</f>
        <v>0</v>
      </c>
      <c r="AI295" s="240">
        <f>SUM(AJ295:AK295)</f>
        <v>0</v>
      </c>
      <c r="AJ295" s="240">
        <f>W295-AF295-AG295</f>
        <v>0</v>
      </c>
      <c r="AK295" s="302"/>
      <c r="AL295" s="244"/>
      <c r="AM295" s="236">
        <f>AB295-AD295-AE295-AK295-AL295</f>
        <v>0</v>
      </c>
      <c r="AN295" s="472" t="s">
        <v>1649</v>
      </c>
    </row>
    <row r="296" spans="1:40" s="321" customFormat="1" ht="19.5" customHeight="1">
      <c r="A296" s="230"/>
      <c r="B296" s="323" t="s">
        <v>1681</v>
      </c>
      <c r="C296" s="232" t="s">
        <v>1643</v>
      </c>
      <c r="D296" s="232" t="s">
        <v>1682</v>
      </c>
      <c r="E296" s="234"/>
      <c r="F296" s="235">
        <v>105000</v>
      </c>
      <c r="G296" s="236">
        <v>56271</v>
      </c>
      <c r="H296" s="236">
        <v>14591</v>
      </c>
      <c r="I296" s="237">
        <f>K296+M296</f>
        <v>41680</v>
      </c>
      <c r="J296" s="238"/>
      <c r="K296" s="237">
        <v>41680</v>
      </c>
      <c r="L296" s="237"/>
      <c r="M296" s="237"/>
      <c r="N296" s="239">
        <f>Q296+R296+S296</f>
        <v>30933.22</v>
      </c>
      <c r="O296" s="239"/>
      <c r="P296" s="239">
        <f>SUM(Q296:S296)</f>
        <v>30933.22</v>
      </c>
      <c r="Q296" s="239">
        <v>30933.22</v>
      </c>
      <c r="R296" s="239">
        <v>0</v>
      </c>
      <c r="S296" s="239">
        <v>0</v>
      </c>
      <c r="T296" s="301"/>
      <c r="U296" s="235"/>
      <c r="V296" s="240">
        <f>W296+X296</f>
        <v>0</v>
      </c>
      <c r="W296" s="240"/>
      <c r="X296" s="240"/>
      <c r="Y296" s="240">
        <v>41680000000</v>
      </c>
      <c r="Z296" s="302"/>
      <c r="AA296" s="302"/>
      <c r="AB296" s="241">
        <f>Y296+Z296-AA296+X296</f>
        <v>41680000000</v>
      </c>
      <c r="AC296" s="242">
        <f>AD296+AE296+AF296</f>
        <v>30933220000</v>
      </c>
      <c r="AD296" s="479">
        <v>30933220000</v>
      </c>
      <c r="AE296" s="302"/>
      <c r="AF296" s="302"/>
      <c r="AG296" s="240"/>
      <c r="AH296" s="240">
        <f>AI296+AL296</f>
        <v>10746780000</v>
      </c>
      <c r="AI296" s="240">
        <f>SUM(AJ296:AK296)</f>
        <v>10746780000</v>
      </c>
      <c r="AJ296" s="240">
        <f>W296-AF296-AG296</f>
        <v>0</v>
      </c>
      <c r="AK296" s="341">
        <v>10746780000</v>
      </c>
      <c r="AL296" s="244"/>
      <c r="AM296" s="236">
        <f>AB296-AD296-AE296-AK296-AL296</f>
        <v>0</v>
      </c>
      <c r="AN296" s="472" t="s">
        <v>1649</v>
      </c>
    </row>
    <row r="297" spans="1:40" s="321" customFormat="1" ht="19.5" customHeight="1">
      <c r="A297" s="230"/>
      <c r="B297" s="323" t="s">
        <v>1683</v>
      </c>
      <c r="C297" s="232" t="s">
        <v>1397</v>
      </c>
      <c r="D297" s="232" t="s">
        <v>1362</v>
      </c>
      <c r="E297" s="234" t="s">
        <v>1684</v>
      </c>
      <c r="F297" s="235"/>
      <c r="G297" s="236"/>
      <c r="H297" s="236"/>
      <c r="I297" s="237">
        <f>K297+M297</f>
        <v>4900</v>
      </c>
      <c r="J297" s="238"/>
      <c r="K297" s="237">
        <v>4900</v>
      </c>
      <c r="L297" s="237"/>
      <c r="M297" s="237"/>
      <c r="N297" s="239">
        <f>Q297+R297+S297</f>
        <v>4900</v>
      </c>
      <c r="O297" s="239"/>
      <c r="P297" s="239">
        <f>SUM(Q297:S297)</f>
        <v>4900</v>
      </c>
      <c r="Q297" s="239">
        <v>4900</v>
      </c>
      <c r="R297" s="239">
        <v>0</v>
      </c>
      <c r="S297" s="239">
        <v>0</v>
      </c>
      <c r="T297" s="301"/>
      <c r="U297" s="235"/>
      <c r="V297" s="240">
        <f>W297+X297</f>
        <v>0</v>
      </c>
      <c r="W297" s="240"/>
      <c r="X297" s="240"/>
      <c r="Y297" s="240">
        <v>4900000000</v>
      </c>
      <c r="Z297" s="302"/>
      <c r="AA297" s="302"/>
      <c r="AB297" s="241">
        <f>Y297+Z297-AA297+X297</f>
        <v>4900000000</v>
      </c>
      <c r="AC297" s="242">
        <f>AD297+AE297+AF297</f>
        <v>4900000000</v>
      </c>
      <c r="AD297" s="259">
        <v>4900000000</v>
      </c>
      <c r="AE297" s="302"/>
      <c r="AF297" s="302"/>
      <c r="AG297" s="240"/>
      <c r="AH297" s="240">
        <f>AI297+AL297</f>
        <v>0</v>
      </c>
      <c r="AI297" s="240">
        <f>SUM(AJ297:AK297)</f>
        <v>0</v>
      </c>
      <c r="AJ297" s="240">
        <f>W297-AF297-AG297</f>
        <v>0</v>
      </c>
      <c r="AK297" s="302"/>
      <c r="AL297" s="244"/>
      <c r="AM297" s="236">
        <f>AB297-AD297-AE297-AK297-AL297</f>
        <v>0</v>
      </c>
      <c r="AN297" s="472" t="s">
        <v>1649</v>
      </c>
    </row>
    <row r="298" spans="1:40" s="321" customFormat="1" ht="33" customHeight="1">
      <c r="A298" s="230"/>
      <c r="B298" s="231" t="s">
        <v>1685</v>
      </c>
      <c r="C298" s="232" t="s">
        <v>1058</v>
      </c>
      <c r="D298" s="232" t="s">
        <v>1497</v>
      </c>
      <c r="E298" s="234" t="s">
        <v>1686</v>
      </c>
      <c r="F298" s="235">
        <v>92137</v>
      </c>
      <c r="G298" s="236">
        <v>40080</v>
      </c>
      <c r="H298" s="236">
        <v>40080</v>
      </c>
      <c r="I298" s="237">
        <f>K298+M298</f>
        <v>15920</v>
      </c>
      <c r="J298" s="238"/>
      <c r="K298" s="237">
        <v>15920</v>
      </c>
      <c r="L298" s="237"/>
      <c r="M298" s="237"/>
      <c r="N298" s="239">
        <f>Q298+R298+S298</f>
        <v>15920</v>
      </c>
      <c r="O298" s="239"/>
      <c r="P298" s="239">
        <f>SUM(Q298:S298)</f>
        <v>15920</v>
      </c>
      <c r="Q298" s="239">
        <v>15920</v>
      </c>
      <c r="R298" s="239">
        <v>0</v>
      </c>
      <c r="S298" s="239">
        <v>0</v>
      </c>
      <c r="T298" s="301"/>
      <c r="U298" s="235"/>
      <c r="V298" s="240">
        <f>W298+X298</f>
        <v>0</v>
      </c>
      <c r="W298" s="240"/>
      <c r="X298" s="240"/>
      <c r="Y298" s="240">
        <v>15920000000</v>
      </c>
      <c r="Z298" s="302"/>
      <c r="AA298" s="302"/>
      <c r="AB298" s="241">
        <f>Y298+Z298-AA298+X298</f>
        <v>15920000000</v>
      </c>
      <c r="AC298" s="242">
        <f>AD298+AE298+AF298</f>
        <v>15920000000</v>
      </c>
      <c r="AD298" s="240">
        <v>15920000000</v>
      </c>
      <c r="AE298" s="302"/>
      <c r="AF298" s="302"/>
      <c r="AG298" s="240"/>
      <c r="AH298" s="240">
        <f>AI298+AL298</f>
        <v>0</v>
      </c>
      <c r="AI298" s="240">
        <f>SUM(AJ298:AK298)</f>
        <v>0</v>
      </c>
      <c r="AJ298" s="240">
        <f>W298-AF298-AG298</f>
        <v>0</v>
      </c>
      <c r="AK298" s="302"/>
      <c r="AL298" s="244"/>
      <c r="AM298" s="236">
        <f>AB298-AD298-AE298-AK298-AL298</f>
        <v>0</v>
      </c>
      <c r="AN298" s="472" t="s">
        <v>1649</v>
      </c>
    </row>
    <row r="299" spans="1:41" s="321" customFormat="1" ht="19.5" customHeight="1">
      <c r="A299" s="216">
        <v>3</v>
      </c>
      <c r="B299" s="217" t="s">
        <v>1687</v>
      </c>
      <c r="C299" s="446"/>
      <c r="D299" s="218"/>
      <c r="E299" s="219"/>
      <c r="F299" s="221">
        <v>2462883</v>
      </c>
      <c r="G299" s="221">
        <v>26354</v>
      </c>
      <c r="H299" s="221">
        <v>26354</v>
      </c>
      <c r="I299" s="222">
        <f>SUM(I300:I306)</f>
        <v>3882.7200000000003</v>
      </c>
      <c r="J299" s="222">
        <f aca="true" t="shared" si="175" ref="J299:U299">SUM(J300:J306)</f>
        <v>0</v>
      </c>
      <c r="K299" s="222">
        <f t="shared" si="175"/>
        <v>3882.7200000000003</v>
      </c>
      <c r="L299" s="222">
        <f t="shared" si="175"/>
        <v>0</v>
      </c>
      <c r="M299" s="222">
        <f t="shared" si="175"/>
        <v>0</v>
      </c>
      <c r="N299" s="222">
        <f t="shared" si="175"/>
        <v>7205.15884</v>
      </c>
      <c r="O299" s="222">
        <f t="shared" si="175"/>
        <v>0</v>
      </c>
      <c r="P299" s="222">
        <f t="shared" si="175"/>
        <v>7205.15884</v>
      </c>
      <c r="Q299" s="222">
        <f t="shared" si="175"/>
        <v>1893.816714</v>
      </c>
      <c r="R299" s="222">
        <f t="shared" si="175"/>
        <v>5311.342126</v>
      </c>
      <c r="S299" s="222">
        <f t="shared" si="175"/>
        <v>0</v>
      </c>
      <c r="T299" s="222">
        <f t="shared" si="175"/>
        <v>0</v>
      </c>
      <c r="U299" s="222">
        <f t="shared" si="175"/>
        <v>0</v>
      </c>
      <c r="V299" s="223" t="e">
        <f>#REF!+V305+#REF!+#REF!+#REF!</f>
        <v>#REF!</v>
      </c>
      <c r="W299" s="223" t="e">
        <f>#REF!+W305+#REF!+#REF!+#REF!</f>
        <v>#REF!</v>
      </c>
      <c r="X299" s="223" t="e">
        <f>#REF!+X305+#REF!+#REF!+#REF!</f>
        <v>#REF!</v>
      </c>
      <c r="Y299" s="223" t="e">
        <f>#REF!+Y305+#REF!+#REF!+#REF!</f>
        <v>#REF!</v>
      </c>
      <c r="Z299" s="223" t="e">
        <f>#REF!+Z305+#REF!+#REF!+#REF!</f>
        <v>#REF!</v>
      </c>
      <c r="AA299" s="223" t="e">
        <f>#REF!+AA305+#REF!+#REF!+#REF!</f>
        <v>#REF!</v>
      </c>
      <c r="AB299" s="223" t="e">
        <f>#REF!+AB305+#REF!+#REF!+#REF!</f>
        <v>#REF!</v>
      </c>
      <c r="AC299" s="223" t="e">
        <f>#REF!+AC305+#REF!+#REF!+#REF!</f>
        <v>#REF!</v>
      </c>
      <c r="AD299" s="223" t="e">
        <f>#REF!+AD305+#REF!+#REF!+#REF!</f>
        <v>#REF!</v>
      </c>
      <c r="AE299" s="223" t="e">
        <f>#REF!+AE305+#REF!+#REF!+#REF!</f>
        <v>#REF!</v>
      </c>
      <c r="AF299" s="223" t="e">
        <f>#REF!+AF305+#REF!+#REF!+#REF!</f>
        <v>#REF!</v>
      </c>
      <c r="AG299" s="223" t="e">
        <f>#REF!+AG305+#REF!+#REF!+#REF!</f>
        <v>#REF!</v>
      </c>
      <c r="AH299" s="223" t="e">
        <f>#REF!+AH305+#REF!+#REF!+#REF!</f>
        <v>#REF!</v>
      </c>
      <c r="AI299" s="223" t="e">
        <f>#REF!+AI305+#REF!+#REF!+#REF!</f>
        <v>#REF!</v>
      </c>
      <c r="AJ299" s="223" t="e">
        <f>#REF!+AJ305+#REF!+#REF!+#REF!</f>
        <v>#REF!</v>
      </c>
      <c r="AK299" s="223" t="e">
        <f>#REF!+AK305+#REF!+#REF!+#REF!</f>
        <v>#REF!</v>
      </c>
      <c r="AL299" s="223" t="e">
        <f>#REF!+AL305+#REF!+#REF!+#REF!</f>
        <v>#REF!</v>
      </c>
      <c r="AM299" s="221" t="e">
        <f>#REF!+AM305+#REF!+#REF!+#REF!</f>
        <v>#REF!</v>
      </c>
      <c r="AN299" s="293" t="s">
        <v>1688</v>
      </c>
      <c r="AO299" s="224"/>
    </row>
    <row r="300" spans="1:40" s="481" customFormat="1" ht="19.5" customHeight="1">
      <c r="A300" s="263"/>
      <c r="B300" s="396" t="s">
        <v>1689</v>
      </c>
      <c r="C300" s="264"/>
      <c r="D300" s="304"/>
      <c r="E300" s="305"/>
      <c r="F300" s="306"/>
      <c r="G300" s="244"/>
      <c r="H300" s="244"/>
      <c r="I300" s="237">
        <f aca="true" t="shared" si="176" ref="I300:I305">K300+M300</f>
        <v>352.25</v>
      </c>
      <c r="J300" s="237"/>
      <c r="K300" s="237">
        <v>352.25</v>
      </c>
      <c r="L300" s="237"/>
      <c r="M300" s="237"/>
      <c r="N300" s="239">
        <f aca="true" t="shared" si="177" ref="N300:N306">Q300+R300+S300</f>
        <v>38.424</v>
      </c>
      <c r="O300" s="239"/>
      <c r="P300" s="237">
        <f aca="true" t="shared" si="178" ref="P300:P306">SUM(Q300:S300)</f>
        <v>38.424</v>
      </c>
      <c r="Q300" s="239">
        <v>0</v>
      </c>
      <c r="R300" s="239">
        <v>38.424</v>
      </c>
      <c r="S300" s="239">
        <v>0</v>
      </c>
      <c r="T300" s="307"/>
      <c r="U300" s="306"/>
      <c r="V300" s="240">
        <f aca="true" t="shared" si="179" ref="V300:V305">W300+X300</f>
        <v>38424000</v>
      </c>
      <c r="W300" s="240"/>
      <c r="X300" s="240">
        <v>38424000</v>
      </c>
      <c r="Y300" s="240">
        <v>352250000</v>
      </c>
      <c r="Z300" s="480"/>
      <c r="AA300" s="480"/>
      <c r="AB300" s="241">
        <f aca="true" t="shared" si="180" ref="AB300:AB305">Y300+Z300-AA300+X300</f>
        <v>390674000</v>
      </c>
      <c r="AC300" s="242">
        <f aca="true" t="shared" si="181" ref="AC300:AC305">AD300+AE300+AF300</f>
        <v>38424000</v>
      </c>
      <c r="AD300" s="308"/>
      <c r="AE300" s="240">
        <v>38424000</v>
      </c>
      <c r="AF300" s="308"/>
      <c r="AG300" s="240"/>
      <c r="AH300" s="240">
        <f aca="true" t="shared" si="182" ref="AH300:AH305">AI300+AL300</f>
        <v>0</v>
      </c>
      <c r="AI300" s="240">
        <f aca="true" t="shared" si="183" ref="AI300:AI305">SUM(AJ300:AK300)</f>
        <v>0</v>
      </c>
      <c r="AJ300" s="240">
        <f aca="true" t="shared" si="184" ref="AJ300:AJ305">W300-AF300-AG300</f>
        <v>0</v>
      </c>
      <c r="AK300" s="308"/>
      <c r="AL300" s="244"/>
      <c r="AM300" s="236">
        <f aca="true" t="shared" si="185" ref="AM300:AM305">AB300-AD300-AE300-AK300-AL300</f>
        <v>352250000</v>
      </c>
      <c r="AN300" s="472"/>
    </row>
    <row r="301" spans="1:40" s="481" customFormat="1" ht="19.5" customHeight="1">
      <c r="A301" s="263"/>
      <c r="B301" s="396" t="s">
        <v>1690</v>
      </c>
      <c r="C301" s="264"/>
      <c r="D301" s="304"/>
      <c r="E301" s="305"/>
      <c r="F301" s="306"/>
      <c r="G301" s="244"/>
      <c r="H301" s="244"/>
      <c r="I301" s="237">
        <f t="shared" si="176"/>
        <v>515.98</v>
      </c>
      <c r="J301" s="237"/>
      <c r="K301" s="237">
        <v>515.98</v>
      </c>
      <c r="L301" s="237"/>
      <c r="M301" s="237"/>
      <c r="N301" s="239">
        <f t="shared" si="177"/>
        <v>491.401375</v>
      </c>
      <c r="O301" s="239"/>
      <c r="P301" s="237">
        <f t="shared" si="178"/>
        <v>491.401375</v>
      </c>
      <c r="Q301" s="239">
        <v>0</v>
      </c>
      <c r="R301" s="239">
        <v>491.401375</v>
      </c>
      <c r="S301" s="239">
        <v>0</v>
      </c>
      <c r="T301" s="307"/>
      <c r="U301" s="306"/>
      <c r="V301" s="240">
        <f t="shared" si="179"/>
        <v>491401375</v>
      </c>
      <c r="W301" s="240"/>
      <c r="X301" s="240">
        <v>491401375</v>
      </c>
      <c r="Y301" s="240">
        <v>515980000</v>
      </c>
      <c r="Z301" s="480"/>
      <c r="AA301" s="480"/>
      <c r="AB301" s="241">
        <f t="shared" si="180"/>
        <v>1007381375</v>
      </c>
      <c r="AC301" s="242">
        <f t="shared" si="181"/>
        <v>491401375</v>
      </c>
      <c r="AD301" s="308"/>
      <c r="AE301" s="240">
        <v>491401375</v>
      </c>
      <c r="AF301" s="308"/>
      <c r="AG301" s="240"/>
      <c r="AH301" s="240">
        <f t="shared" si="182"/>
        <v>0</v>
      </c>
      <c r="AI301" s="240">
        <f t="shared" si="183"/>
        <v>0</v>
      </c>
      <c r="AJ301" s="240">
        <f t="shared" si="184"/>
        <v>0</v>
      </c>
      <c r="AK301" s="308"/>
      <c r="AL301" s="244"/>
      <c r="AM301" s="236">
        <f t="shared" si="185"/>
        <v>515980000</v>
      </c>
      <c r="AN301" s="472"/>
    </row>
    <row r="302" spans="1:40" s="481" customFormat="1" ht="19.5" customHeight="1">
      <c r="A302" s="263"/>
      <c r="B302" s="396" t="s">
        <v>1691</v>
      </c>
      <c r="C302" s="264"/>
      <c r="D302" s="304"/>
      <c r="E302" s="305"/>
      <c r="F302" s="306"/>
      <c r="G302" s="244"/>
      <c r="H302" s="244"/>
      <c r="I302" s="237">
        <f t="shared" si="176"/>
        <v>1014.49</v>
      </c>
      <c r="J302" s="237"/>
      <c r="K302" s="237">
        <v>1014.49</v>
      </c>
      <c r="L302" s="237"/>
      <c r="M302" s="237"/>
      <c r="N302" s="239">
        <f t="shared" si="177"/>
        <v>851.636271</v>
      </c>
      <c r="O302" s="239"/>
      <c r="P302" s="237">
        <f t="shared" si="178"/>
        <v>851.636271</v>
      </c>
      <c r="Q302" s="239">
        <v>0</v>
      </c>
      <c r="R302" s="239">
        <v>851.636271</v>
      </c>
      <c r="S302" s="239">
        <v>0</v>
      </c>
      <c r="T302" s="307"/>
      <c r="U302" s="306"/>
      <c r="V302" s="240">
        <f t="shared" si="179"/>
        <v>851636271</v>
      </c>
      <c r="W302" s="240"/>
      <c r="X302" s="240">
        <v>851636271</v>
      </c>
      <c r="Y302" s="240">
        <v>1014490000</v>
      </c>
      <c r="Z302" s="480"/>
      <c r="AA302" s="480"/>
      <c r="AB302" s="241">
        <f t="shared" si="180"/>
        <v>1866126271</v>
      </c>
      <c r="AC302" s="242">
        <f t="shared" si="181"/>
        <v>851636271</v>
      </c>
      <c r="AD302" s="308"/>
      <c r="AE302" s="240">
        <v>851636271</v>
      </c>
      <c r="AF302" s="308"/>
      <c r="AG302" s="240"/>
      <c r="AH302" s="240">
        <f t="shared" si="182"/>
        <v>0</v>
      </c>
      <c r="AI302" s="240">
        <f t="shared" si="183"/>
        <v>0</v>
      </c>
      <c r="AJ302" s="240">
        <f t="shared" si="184"/>
        <v>0</v>
      </c>
      <c r="AK302" s="308"/>
      <c r="AL302" s="244"/>
      <c r="AM302" s="236">
        <f t="shared" si="185"/>
        <v>1014490000</v>
      </c>
      <c r="AN302" s="472"/>
    </row>
    <row r="303" spans="1:40" s="481" customFormat="1" ht="19.5" customHeight="1">
      <c r="A303" s="263"/>
      <c r="B303" s="396" t="s">
        <v>1692</v>
      </c>
      <c r="C303" s="264" t="s">
        <v>1693</v>
      </c>
      <c r="D303" s="304"/>
      <c r="E303" s="305"/>
      <c r="F303" s="306"/>
      <c r="G303" s="244"/>
      <c r="H303" s="244"/>
      <c r="I303" s="237"/>
      <c r="J303" s="237"/>
      <c r="K303" s="237"/>
      <c r="L303" s="237"/>
      <c r="M303" s="237"/>
      <c r="N303" s="239">
        <f t="shared" si="177"/>
        <v>2999.398076</v>
      </c>
      <c r="O303" s="239"/>
      <c r="P303" s="237">
        <f t="shared" si="178"/>
        <v>2999.398076</v>
      </c>
      <c r="Q303" s="239">
        <v>0</v>
      </c>
      <c r="R303" s="239">
        <v>2999.398076</v>
      </c>
      <c r="S303" s="239">
        <v>0</v>
      </c>
      <c r="T303" s="307"/>
      <c r="U303" s="306"/>
      <c r="V303" s="240">
        <f t="shared" si="179"/>
        <v>2999398076</v>
      </c>
      <c r="W303" s="240"/>
      <c r="X303" s="240">
        <v>2999398076</v>
      </c>
      <c r="Y303" s="240"/>
      <c r="Z303" s="480"/>
      <c r="AA303" s="480"/>
      <c r="AB303" s="241">
        <f t="shared" si="180"/>
        <v>2999398076</v>
      </c>
      <c r="AC303" s="242">
        <f t="shared" si="181"/>
        <v>2999398076</v>
      </c>
      <c r="AD303" s="308"/>
      <c r="AE303" s="240">
        <v>2999398076</v>
      </c>
      <c r="AF303" s="308"/>
      <c r="AG303" s="240"/>
      <c r="AH303" s="240">
        <f t="shared" si="182"/>
        <v>0</v>
      </c>
      <c r="AI303" s="240">
        <f t="shared" si="183"/>
        <v>0</v>
      </c>
      <c r="AJ303" s="240">
        <f t="shared" si="184"/>
        <v>0</v>
      </c>
      <c r="AK303" s="308"/>
      <c r="AL303" s="244"/>
      <c r="AM303" s="236">
        <f t="shared" si="185"/>
        <v>0</v>
      </c>
      <c r="AN303" s="472"/>
    </row>
    <row r="304" spans="1:40" s="481" customFormat="1" ht="19.5" customHeight="1">
      <c r="A304" s="263"/>
      <c r="B304" s="396" t="s">
        <v>1694</v>
      </c>
      <c r="C304" s="264" t="s">
        <v>1050</v>
      </c>
      <c r="D304" s="304"/>
      <c r="E304" s="305"/>
      <c r="F304" s="306"/>
      <c r="G304" s="244"/>
      <c r="H304" s="244"/>
      <c r="I304" s="237"/>
      <c r="J304" s="237"/>
      <c r="K304" s="237"/>
      <c r="L304" s="237"/>
      <c r="M304" s="237"/>
      <c r="N304" s="239">
        <f t="shared" si="177"/>
        <v>835.332404</v>
      </c>
      <c r="O304" s="239"/>
      <c r="P304" s="237">
        <f t="shared" si="178"/>
        <v>835.332404</v>
      </c>
      <c r="Q304" s="239">
        <v>0</v>
      </c>
      <c r="R304" s="239">
        <v>835.332404</v>
      </c>
      <c r="S304" s="239">
        <v>0</v>
      </c>
      <c r="T304" s="307"/>
      <c r="U304" s="306"/>
      <c r="V304" s="240">
        <f t="shared" si="179"/>
        <v>835332404</v>
      </c>
      <c r="W304" s="240"/>
      <c r="X304" s="240">
        <v>835332404</v>
      </c>
      <c r="Y304" s="240"/>
      <c r="Z304" s="480"/>
      <c r="AA304" s="480"/>
      <c r="AB304" s="241">
        <f t="shared" si="180"/>
        <v>835332404</v>
      </c>
      <c r="AC304" s="242">
        <f t="shared" si="181"/>
        <v>835332404</v>
      </c>
      <c r="AD304" s="308"/>
      <c r="AE304" s="240">
        <v>835332404</v>
      </c>
      <c r="AF304" s="308"/>
      <c r="AG304" s="240"/>
      <c r="AH304" s="240">
        <f t="shared" si="182"/>
        <v>0</v>
      </c>
      <c r="AI304" s="240">
        <f t="shared" si="183"/>
        <v>0</v>
      </c>
      <c r="AJ304" s="240">
        <f t="shared" si="184"/>
        <v>0</v>
      </c>
      <c r="AK304" s="308"/>
      <c r="AL304" s="244"/>
      <c r="AM304" s="236">
        <f t="shared" si="185"/>
        <v>0</v>
      </c>
      <c r="AN304" s="472"/>
    </row>
    <row r="305" spans="1:40" s="481" customFormat="1" ht="19.5" customHeight="1">
      <c r="A305" s="263"/>
      <c r="B305" s="396" t="s">
        <v>1695</v>
      </c>
      <c r="C305" s="264"/>
      <c r="D305" s="304"/>
      <c r="E305" s="305"/>
      <c r="F305" s="306"/>
      <c r="G305" s="244"/>
      <c r="H305" s="244"/>
      <c r="I305" s="237">
        <f t="shared" si="176"/>
        <v>2000</v>
      </c>
      <c r="J305" s="237"/>
      <c r="K305" s="237">
        <v>2000</v>
      </c>
      <c r="L305" s="237"/>
      <c r="M305" s="237"/>
      <c r="N305" s="239">
        <f t="shared" si="177"/>
        <v>1893.816714</v>
      </c>
      <c r="O305" s="239"/>
      <c r="P305" s="237">
        <f t="shared" si="178"/>
        <v>1893.816714</v>
      </c>
      <c r="Q305" s="239">
        <v>1893.816714</v>
      </c>
      <c r="R305" s="239">
        <v>0</v>
      </c>
      <c r="S305" s="239">
        <v>0</v>
      </c>
      <c r="T305" s="307"/>
      <c r="U305" s="306"/>
      <c r="V305" s="240">
        <f t="shared" si="179"/>
        <v>0</v>
      </c>
      <c r="W305" s="240"/>
      <c r="X305" s="240"/>
      <c r="Y305" s="240">
        <v>2000000000</v>
      </c>
      <c r="Z305" s="480"/>
      <c r="AA305" s="480"/>
      <c r="AB305" s="241">
        <f t="shared" si="180"/>
        <v>2000000000</v>
      </c>
      <c r="AC305" s="242">
        <f t="shared" si="181"/>
        <v>1893816714</v>
      </c>
      <c r="AD305" s="259">
        <v>1893816714</v>
      </c>
      <c r="AE305" s="308"/>
      <c r="AF305" s="308"/>
      <c r="AG305" s="240"/>
      <c r="AH305" s="240">
        <f t="shared" si="182"/>
        <v>0</v>
      </c>
      <c r="AI305" s="240">
        <f t="shared" si="183"/>
        <v>0</v>
      </c>
      <c r="AJ305" s="240">
        <f t="shared" si="184"/>
        <v>0</v>
      </c>
      <c r="AK305" s="308"/>
      <c r="AL305" s="244"/>
      <c r="AM305" s="236">
        <f t="shared" si="185"/>
        <v>106183286</v>
      </c>
      <c r="AN305" s="472"/>
    </row>
    <row r="306" spans="1:40" s="481" customFormat="1" ht="19.5" customHeight="1">
      <c r="A306" s="263"/>
      <c r="B306" s="396" t="s">
        <v>1696</v>
      </c>
      <c r="C306" s="264"/>
      <c r="D306" s="304"/>
      <c r="E306" s="305"/>
      <c r="F306" s="306"/>
      <c r="G306" s="244"/>
      <c r="H306" s="244"/>
      <c r="I306" s="237"/>
      <c r="J306" s="237"/>
      <c r="K306" s="237"/>
      <c r="L306" s="237"/>
      <c r="M306" s="237"/>
      <c r="N306" s="239">
        <f t="shared" si="177"/>
        <v>95.15</v>
      </c>
      <c r="O306" s="239"/>
      <c r="P306" s="237">
        <f t="shared" si="178"/>
        <v>95.15</v>
      </c>
      <c r="Q306" s="239"/>
      <c r="R306" s="239">
        <v>95.15</v>
      </c>
      <c r="S306" s="239"/>
      <c r="T306" s="307"/>
      <c r="U306" s="306"/>
      <c r="V306" s="240"/>
      <c r="W306" s="240"/>
      <c r="X306" s="240"/>
      <c r="Y306" s="240"/>
      <c r="Z306" s="480"/>
      <c r="AA306" s="480"/>
      <c r="AB306" s="241"/>
      <c r="AC306" s="242"/>
      <c r="AD306" s="259"/>
      <c r="AE306" s="308"/>
      <c r="AF306" s="308"/>
      <c r="AG306" s="240"/>
      <c r="AH306" s="240"/>
      <c r="AI306" s="240"/>
      <c r="AJ306" s="240"/>
      <c r="AK306" s="308"/>
      <c r="AL306" s="244"/>
      <c r="AM306" s="236"/>
      <c r="AN306" s="472"/>
    </row>
    <row r="307" spans="1:40" s="321" customFormat="1" ht="19.5" customHeight="1">
      <c r="A307" s="216">
        <v>4</v>
      </c>
      <c r="B307" s="286" t="s">
        <v>1697</v>
      </c>
      <c r="C307" s="218"/>
      <c r="D307" s="218"/>
      <c r="E307" s="219"/>
      <c r="F307" s="221"/>
      <c r="G307" s="221"/>
      <c r="H307" s="221"/>
      <c r="I307" s="222">
        <f>SUM(I308)</f>
        <v>10000</v>
      </c>
      <c r="J307" s="222"/>
      <c r="K307" s="222">
        <f>SUM(K308)</f>
        <v>10000</v>
      </c>
      <c r="L307" s="222">
        <f>SUM(L308)</f>
        <v>0</v>
      </c>
      <c r="M307" s="222"/>
      <c r="N307" s="222">
        <f>SUM(N308)</f>
        <v>950.538</v>
      </c>
      <c r="O307" s="222"/>
      <c r="P307" s="222">
        <f>SUM(P308)</f>
        <v>950.538</v>
      </c>
      <c r="Q307" s="222">
        <f>SUM(Q308)</f>
        <v>950.538</v>
      </c>
      <c r="R307" s="222">
        <f>SUM(R308)</f>
        <v>0</v>
      </c>
      <c r="S307" s="222">
        <f>SUM(S308)</f>
        <v>0</v>
      </c>
      <c r="T307" s="222">
        <f>SUM(T308)</f>
        <v>0</v>
      </c>
      <c r="U307" s="221"/>
      <c r="V307" s="223">
        <f aca="true" t="shared" si="186" ref="V307:AM307">SUM(V308:V309)</f>
        <v>0</v>
      </c>
      <c r="W307" s="223">
        <f t="shared" si="186"/>
        <v>0</v>
      </c>
      <c r="X307" s="223">
        <f t="shared" si="186"/>
        <v>0</v>
      </c>
      <c r="Y307" s="223">
        <f t="shared" si="186"/>
        <v>20000000000</v>
      </c>
      <c r="Z307" s="223">
        <f t="shared" si="186"/>
        <v>0</v>
      </c>
      <c r="AA307" s="223">
        <f t="shared" si="186"/>
        <v>0</v>
      </c>
      <c r="AB307" s="223">
        <f t="shared" si="186"/>
        <v>20000000000</v>
      </c>
      <c r="AC307" s="223">
        <f t="shared" si="186"/>
        <v>1901076000</v>
      </c>
      <c r="AD307" s="223">
        <f t="shared" si="186"/>
        <v>1901076000</v>
      </c>
      <c r="AE307" s="223">
        <f t="shared" si="186"/>
        <v>0</v>
      </c>
      <c r="AF307" s="223">
        <f t="shared" si="186"/>
        <v>0</v>
      </c>
      <c r="AG307" s="223">
        <f t="shared" si="186"/>
        <v>0</v>
      </c>
      <c r="AH307" s="223">
        <f t="shared" si="186"/>
        <v>18098924000</v>
      </c>
      <c r="AI307" s="223">
        <f t="shared" si="186"/>
        <v>18000000000</v>
      </c>
      <c r="AJ307" s="223">
        <f t="shared" si="186"/>
        <v>0</v>
      </c>
      <c r="AK307" s="223">
        <f t="shared" si="186"/>
        <v>18000000000</v>
      </c>
      <c r="AL307" s="223">
        <f t="shared" si="186"/>
        <v>98924000</v>
      </c>
      <c r="AM307" s="223">
        <f t="shared" si="186"/>
        <v>0</v>
      </c>
      <c r="AN307" s="224"/>
    </row>
    <row r="308" spans="1:41" s="321" customFormat="1" ht="19.5" customHeight="1">
      <c r="A308" s="216"/>
      <c r="B308" s="217" t="s">
        <v>1698</v>
      </c>
      <c r="C308" s="446"/>
      <c r="D308" s="216"/>
      <c r="E308" s="448"/>
      <c r="F308" s="220"/>
      <c r="G308" s="221"/>
      <c r="H308" s="482"/>
      <c r="I308" s="282">
        <f>SUM(I309)</f>
        <v>10000</v>
      </c>
      <c r="J308" s="282"/>
      <c r="K308" s="282">
        <f aca="true" t="shared" si="187" ref="K308:AO308">SUM(K309)</f>
        <v>10000</v>
      </c>
      <c r="L308" s="282">
        <f t="shared" si="187"/>
        <v>0</v>
      </c>
      <c r="M308" s="282"/>
      <c r="N308" s="282">
        <f t="shared" si="187"/>
        <v>950.538</v>
      </c>
      <c r="O308" s="282"/>
      <c r="P308" s="282">
        <f t="shared" si="187"/>
        <v>950.538</v>
      </c>
      <c r="Q308" s="282">
        <f t="shared" si="187"/>
        <v>950.538</v>
      </c>
      <c r="R308" s="237">
        <f t="shared" si="187"/>
        <v>0</v>
      </c>
      <c r="S308" s="237">
        <f t="shared" si="187"/>
        <v>0</v>
      </c>
      <c r="T308" s="237">
        <f t="shared" si="187"/>
        <v>0</v>
      </c>
      <c r="U308" s="237">
        <f t="shared" si="187"/>
        <v>0</v>
      </c>
      <c r="V308" s="237">
        <f t="shared" si="187"/>
        <v>0</v>
      </c>
      <c r="W308" s="237">
        <f t="shared" si="187"/>
        <v>0</v>
      </c>
      <c r="X308" s="237">
        <f t="shared" si="187"/>
        <v>0</v>
      </c>
      <c r="Y308" s="237">
        <f t="shared" si="187"/>
        <v>10000000000</v>
      </c>
      <c r="Z308" s="237">
        <f t="shared" si="187"/>
        <v>0</v>
      </c>
      <c r="AA308" s="237">
        <f t="shared" si="187"/>
        <v>0</v>
      </c>
      <c r="AB308" s="237">
        <f t="shared" si="187"/>
        <v>10000000000</v>
      </c>
      <c r="AC308" s="237">
        <f t="shared" si="187"/>
        <v>950538000</v>
      </c>
      <c r="AD308" s="237">
        <f t="shared" si="187"/>
        <v>950538000</v>
      </c>
      <c r="AE308" s="237">
        <f t="shared" si="187"/>
        <v>0</v>
      </c>
      <c r="AF308" s="237">
        <f t="shared" si="187"/>
        <v>0</v>
      </c>
      <c r="AG308" s="237">
        <f t="shared" si="187"/>
        <v>0</v>
      </c>
      <c r="AH308" s="237">
        <f t="shared" si="187"/>
        <v>9049462000</v>
      </c>
      <c r="AI308" s="237">
        <f t="shared" si="187"/>
        <v>9000000000</v>
      </c>
      <c r="AJ308" s="237">
        <f t="shared" si="187"/>
        <v>0</v>
      </c>
      <c r="AK308" s="237">
        <f t="shared" si="187"/>
        <v>9000000000</v>
      </c>
      <c r="AL308" s="237">
        <f t="shared" si="187"/>
        <v>49462000</v>
      </c>
      <c r="AM308" s="237">
        <f t="shared" si="187"/>
        <v>0</v>
      </c>
      <c r="AN308" s="237">
        <f t="shared" si="187"/>
        <v>0</v>
      </c>
      <c r="AO308" s="237">
        <f t="shared" si="187"/>
        <v>0</v>
      </c>
    </row>
    <row r="309" spans="1:40" s="414" customFormat="1" ht="29.25" customHeight="1">
      <c r="A309" s="230"/>
      <c r="B309" s="323" t="s">
        <v>1699</v>
      </c>
      <c r="C309" s="250" t="s">
        <v>1050</v>
      </c>
      <c r="D309" s="230" t="s">
        <v>1682</v>
      </c>
      <c r="E309" s="300"/>
      <c r="F309" s="235">
        <v>20400</v>
      </c>
      <c r="G309" s="236"/>
      <c r="H309" s="318"/>
      <c r="I309" s="237">
        <f>K309+M309</f>
        <v>10000</v>
      </c>
      <c r="J309" s="477"/>
      <c r="K309" s="237">
        <v>10000</v>
      </c>
      <c r="L309" s="237"/>
      <c r="M309" s="237"/>
      <c r="N309" s="239">
        <f>Q309+R309+S309</f>
        <v>950.538</v>
      </c>
      <c r="O309" s="239"/>
      <c r="P309" s="239">
        <f>SUM(Q309:S309)</f>
        <v>950.538</v>
      </c>
      <c r="Q309" s="239">
        <v>950.538</v>
      </c>
      <c r="R309" s="239">
        <v>0</v>
      </c>
      <c r="S309" s="239">
        <v>0</v>
      </c>
      <c r="T309" s="301"/>
      <c r="U309" s="235"/>
      <c r="V309" s="240">
        <f>W309+X309</f>
        <v>0</v>
      </c>
      <c r="W309" s="240"/>
      <c r="X309" s="240"/>
      <c r="Y309" s="240">
        <v>10000000000</v>
      </c>
      <c r="Z309" s="302"/>
      <c r="AA309" s="302"/>
      <c r="AB309" s="241">
        <f>Y309+Z309-AA309+X309</f>
        <v>10000000000</v>
      </c>
      <c r="AC309" s="242">
        <f>AD309+AE309+AF309</f>
        <v>950538000</v>
      </c>
      <c r="AD309" s="483">
        <v>950538000</v>
      </c>
      <c r="AE309" s="302"/>
      <c r="AF309" s="302"/>
      <c r="AG309" s="240"/>
      <c r="AH309" s="240">
        <f>AI309+AL309</f>
        <v>9049462000</v>
      </c>
      <c r="AI309" s="240">
        <f>SUM(AJ309:AK309)</f>
        <v>9000000000</v>
      </c>
      <c r="AJ309" s="240">
        <f>W309-AF309-AG309</f>
        <v>0</v>
      </c>
      <c r="AK309" s="242">
        <v>9000000000</v>
      </c>
      <c r="AL309" s="244">
        <v>49462000</v>
      </c>
      <c r="AM309" s="236">
        <f>AB309-AD309-AE309-AK309-AL309</f>
        <v>0</v>
      </c>
      <c r="AN309" s="413" t="s">
        <v>1649</v>
      </c>
    </row>
    <row r="310" spans="1:41" s="321" customFormat="1" ht="19.5" customHeight="1">
      <c r="A310" s="218">
        <v>5</v>
      </c>
      <c r="B310" s="217" t="s">
        <v>1700</v>
      </c>
      <c r="C310" s="218"/>
      <c r="D310" s="218"/>
      <c r="E310" s="219"/>
      <c r="F310" s="221"/>
      <c r="G310" s="221" t="s">
        <v>1112</v>
      </c>
      <c r="H310" s="221"/>
      <c r="I310" s="292">
        <f>SUM(I311,I315)</f>
        <v>30000</v>
      </c>
      <c r="J310" s="292">
        <f aca="true" t="shared" si="188" ref="J310:AO310">SUM(J311,J315)</f>
        <v>0</v>
      </c>
      <c r="K310" s="292">
        <f t="shared" si="188"/>
        <v>30000</v>
      </c>
      <c r="L310" s="222">
        <f t="shared" si="188"/>
        <v>0</v>
      </c>
      <c r="M310" s="222">
        <f t="shared" si="188"/>
        <v>0</v>
      </c>
      <c r="N310" s="222">
        <f t="shared" si="188"/>
        <v>20989.736128</v>
      </c>
      <c r="O310" s="222">
        <f t="shared" si="188"/>
        <v>0</v>
      </c>
      <c r="P310" s="222">
        <f t="shared" si="188"/>
        <v>20989.736128</v>
      </c>
      <c r="Q310" s="222">
        <f t="shared" si="188"/>
        <v>19651.7</v>
      </c>
      <c r="R310" s="222">
        <f t="shared" si="188"/>
        <v>0</v>
      </c>
      <c r="S310" s="222">
        <f t="shared" si="188"/>
        <v>1338.036128</v>
      </c>
      <c r="T310" s="222">
        <f t="shared" si="188"/>
        <v>0</v>
      </c>
      <c r="U310" s="222">
        <f t="shared" si="188"/>
        <v>0</v>
      </c>
      <c r="V310" s="222">
        <f t="shared" si="188"/>
        <v>2749171696</v>
      </c>
      <c r="W310" s="222">
        <f t="shared" si="188"/>
        <v>2749171696</v>
      </c>
      <c r="X310" s="222">
        <f t="shared" si="188"/>
        <v>0</v>
      </c>
      <c r="Y310" s="222">
        <f t="shared" si="188"/>
        <v>14000000000</v>
      </c>
      <c r="Z310" s="222">
        <f t="shared" si="188"/>
        <v>0</v>
      </c>
      <c r="AA310" s="222">
        <f t="shared" si="188"/>
        <v>0</v>
      </c>
      <c r="AB310" s="222">
        <f t="shared" si="188"/>
        <v>14000000000</v>
      </c>
      <c r="AC310" s="222">
        <f t="shared" si="188"/>
        <v>7725840128</v>
      </c>
      <c r="AD310" s="222">
        <f t="shared" si="188"/>
        <v>6387804000</v>
      </c>
      <c r="AE310" s="222">
        <f t="shared" si="188"/>
        <v>0</v>
      </c>
      <c r="AF310" s="222">
        <f t="shared" si="188"/>
        <v>1338036128</v>
      </c>
      <c r="AG310" s="222">
        <f t="shared" si="188"/>
        <v>0</v>
      </c>
      <c r="AH310" s="222">
        <f t="shared" si="188"/>
        <v>9023331568</v>
      </c>
      <c r="AI310" s="222">
        <f t="shared" si="188"/>
        <v>2809906568</v>
      </c>
      <c r="AJ310" s="222">
        <f t="shared" si="188"/>
        <v>1411135568</v>
      </c>
      <c r="AK310" s="222">
        <f t="shared" si="188"/>
        <v>1398771000</v>
      </c>
      <c r="AL310" s="222">
        <f t="shared" si="188"/>
        <v>6213425000</v>
      </c>
      <c r="AM310" s="222">
        <f t="shared" si="188"/>
        <v>0</v>
      </c>
      <c r="AN310" s="222">
        <f t="shared" si="188"/>
        <v>0</v>
      </c>
      <c r="AO310" s="222">
        <f t="shared" si="188"/>
        <v>0</v>
      </c>
    </row>
    <row r="311" spans="1:41" s="321" customFormat="1" ht="19.5" customHeight="1">
      <c r="A311" s="218"/>
      <c r="B311" s="217" t="s">
        <v>1254</v>
      </c>
      <c r="C311" s="218"/>
      <c r="D311" s="218"/>
      <c r="E311" s="219"/>
      <c r="F311" s="221"/>
      <c r="G311" s="221"/>
      <c r="H311" s="221"/>
      <c r="I311" s="292">
        <f aca="true" t="shared" si="189" ref="I311:AO311">SUM(I312:I314)</f>
        <v>14000</v>
      </c>
      <c r="J311" s="292">
        <f t="shared" si="189"/>
        <v>0</v>
      </c>
      <c r="K311" s="292">
        <f t="shared" si="189"/>
        <v>14000</v>
      </c>
      <c r="L311" s="282">
        <f t="shared" si="189"/>
        <v>0</v>
      </c>
      <c r="M311" s="282">
        <f t="shared" si="189"/>
        <v>0</v>
      </c>
      <c r="N311" s="282">
        <f t="shared" si="189"/>
        <v>7725.840128</v>
      </c>
      <c r="O311" s="296">
        <f t="shared" si="189"/>
        <v>0</v>
      </c>
      <c r="P311" s="296">
        <f t="shared" si="189"/>
        <v>7725.840128</v>
      </c>
      <c r="Q311" s="296">
        <f t="shared" si="189"/>
        <v>6387.804</v>
      </c>
      <c r="R311" s="296">
        <f t="shared" si="189"/>
        <v>0</v>
      </c>
      <c r="S311" s="296">
        <f t="shared" si="189"/>
        <v>1338.036128</v>
      </c>
      <c r="T311" s="296">
        <f t="shared" si="189"/>
        <v>0</v>
      </c>
      <c r="U311" s="296">
        <f t="shared" si="189"/>
        <v>0</v>
      </c>
      <c r="V311" s="296">
        <f t="shared" si="189"/>
        <v>2749171696</v>
      </c>
      <c r="W311" s="296">
        <f t="shared" si="189"/>
        <v>2749171696</v>
      </c>
      <c r="X311" s="296">
        <f t="shared" si="189"/>
        <v>0</v>
      </c>
      <c r="Y311" s="296">
        <f t="shared" si="189"/>
        <v>14000000000</v>
      </c>
      <c r="Z311" s="296">
        <f t="shared" si="189"/>
        <v>0</v>
      </c>
      <c r="AA311" s="296">
        <f t="shared" si="189"/>
        <v>0</v>
      </c>
      <c r="AB311" s="296">
        <f t="shared" si="189"/>
        <v>14000000000</v>
      </c>
      <c r="AC311" s="296">
        <f t="shared" si="189"/>
        <v>7725840128</v>
      </c>
      <c r="AD311" s="296">
        <f t="shared" si="189"/>
        <v>6387804000</v>
      </c>
      <c r="AE311" s="296">
        <f t="shared" si="189"/>
        <v>0</v>
      </c>
      <c r="AF311" s="296">
        <f t="shared" si="189"/>
        <v>1338036128</v>
      </c>
      <c r="AG311" s="296">
        <f t="shared" si="189"/>
        <v>0</v>
      </c>
      <c r="AH311" s="296">
        <f t="shared" si="189"/>
        <v>9023331568</v>
      </c>
      <c r="AI311" s="296">
        <f t="shared" si="189"/>
        <v>2809906568</v>
      </c>
      <c r="AJ311" s="296">
        <f t="shared" si="189"/>
        <v>1411135568</v>
      </c>
      <c r="AK311" s="296">
        <f t="shared" si="189"/>
        <v>1398771000</v>
      </c>
      <c r="AL311" s="296">
        <f t="shared" si="189"/>
        <v>6213425000</v>
      </c>
      <c r="AM311" s="296">
        <f t="shared" si="189"/>
        <v>0</v>
      </c>
      <c r="AN311" s="296">
        <f t="shared" si="189"/>
        <v>0</v>
      </c>
      <c r="AO311" s="296">
        <f t="shared" si="189"/>
        <v>0</v>
      </c>
    </row>
    <row r="312" spans="1:40" s="481" customFormat="1" ht="19.5" customHeight="1">
      <c r="A312" s="304"/>
      <c r="B312" s="396" t="s">
        <v>1701</v>
      </c>
      <c r="C312" s="304"/>
      <c r="D312" s="304"/>
      <c r="E312" s="305"/>
      <c r="F312" s="244"/>
      <c r="G312" s="244"/>
      <c r="H312" s="244"/>
      <c r="I312" s="237"/>
      <c r="J312" s="237"/>
      <c r="K312" s="237"/>
      <c r="L312" s="237"/>
      <c r="M312" s="237"/>
      <c r="N312" s="239">
        <f>Q312+R312+S312</f>
        <v>48</v>
      </c>
      <c r="O312" s="239"/>
      <c r="P312" s="239">
        <f>SUM(Q312:S312)</f>
        <v>48</v>
      </c>
      <c r="Q312" s="239">
        <v>0</v>
      </c>
      <c r="R312" s="239">
        <v>0</v>
      </c>
      <c r="S312" s="239">
        <v>48</v>
      </c>
      <c r="T312" s="237"/>
      <c r="U312" s="244"/>
      <c r="V312" s="240">
        <f>W312+X312</f>
        <v>214422552</v>
      </c>
      <c r="W312" s="240">
        <v>214422552</v>
      </c>
      <c r="X312" s="240"/>
      <c r="Y312" s="240"/>
      <c r="Z312" s="240"/>
      <c r="AA312" s="240"/>
      <c r="AB312" s="241">
        <f>Y312+Z312-AA312+X312</f>
        <v>0</v>
      </c>
      <c r="AC312" s="242">
        <f>AD312+AE312+AF312</f>
        <v>48000000</v>
      </c>
      <c r="AD312" s="240"/>
      <c r="AE312" s="240"/>
      <c r="AF312" s="240">
        <v>48000000</v>
      </c>
      <c r="AG312" s="240"/>
      <c r="AH312" s="240">
        <f>AI312+AL312</f>
        <v>166422552</v>
      </c>
      <c r="AI312" s="240">
        <f>SUM(AJ312:AK312)</f>
        <v>166422552</v>
      </c>
      <c r="AJ312" s="240">
        <f>W312-AF312-AG312</f>
        <v>166422552</v>
      </c>
      <c r="AK312" s="240"/>
      <c r="AL312" s="244"/>
      <c r="AM312" s="236">
        <f>AB312-AD312-AE312-AK312-AL312</f>
        <v>0</v>
      </c>
      <c r="AN312" s="472"/>
    </row>
    <row r="313" spans="1:40" s="481" customFormat="1" ht="19.5" customHeight="1">
      <c r="A313" s="304"/>
      <c r="B313" s="396" t="s">
        <v>1702</v>
      </c>
      <c r="C313" s="304"/>
      <c r="D313" s="304"/>
      <c r="E313" s="305"/>
      <c r="F313" s="244"/>
      <c r="G313" s="244"/>
      <c r="H313" s="244"/>
      <c r="I313" s="237"/>
      <c r="J313" s="237"/>
      <c r="K313" s="237"/>
      <c r="L313" s="237"/>
      <c r="M313" s="237"/>
      <c r="N313" s="239">
        <f>Q313+R313+S313</f>
        <v>1290.036128</v>
      </c>
      <c r="O313" s="239"/>
      <c r="P313" s="239">
        <f>SUM(Q313:S313)</f>
        <v>1290.036128</v>
      </c>
      <c r="Q313" s="239">
        <v>0</v>
      </c>
      <c r="R313" s="239">
        <v>0</v>
      </c>
      <c r="S313" s="239">
        <v>1290.036128</v>
      </c>
      <c r="T313" s="237"/>
      <c r="U313" s="244"/>
      <c r="V313" s="240">
        <f>W313+X313</f>
        <v>2534749144</v>
      </c>
      <c r="W313" s="240">
        <v>2534749144</v>
      </c>
      <c r="X313" s="240"/>
      <c r="Y313" s="240"/>
      <c r="Z313" s="240"/>
      <c r="AA313" s="240"/>
      <c r="AB313" s="241">
        <f>Y313+Z313-AA313+X313</f>
        <v>0</v>
      </c>
      <c r="AC313" s="242">
        <f>AD313+AE313+AF313</f>
        <v>1290036128</v>
      </c>
      <c r="AD313" s="240"/>
      <c r="AE313" s="240"/>
      <c r="AF313" s="240">
        <v>1290036128</v>
      </c>
      <c r="AG313" s="240"/>
      <c r="AH313" s="240">
        <f>AI313+AL313</f>
        <v>1244713016</v>
      </c>
      <c r="AI313" s="240">
        <f>SUM(AJ313:AK313)</f>
        <v>1244713016</v>
      </c>
      <c r="AJ313" s="240">
        <f>W313-AF313-AG313</f>
        <v>1244713016</v>
      </c>
      <c r="AK313" s="240"/>
      <c r="AL313" s="244"/>
      <c r="AM313" s="236">
        <f>AB313-AD313-AE313-AK313-AL313</f>
        <v>0</v>
      </c>
      <c r="AN313" s="472"/>
    </row>
    <row r="314" spans="1:40" s="321" customFormat="1" ht="19.5" customHeight="1">
      <c r="A314" s="232"/>
      <c r="B314" s="231" t="s">
        <v>13</v>
      </c>
      <c r="C314" s="250" t="s">
        <v>1260</v>
      </c>
      <c r="D314" s="319" t="s">
        <v>1517</v>
      </c>
      <c r="E314" s="300" t="s">
        <v>14</v>
      </c>
      <c r="F314" s="235">
        <v>43800</v>
      </c>
      <c r="G314" s="236">
        <v>21000</v>
      </c>
      <c r="H314" s="236">
        <v>21000</v>
      </c>
      <c r="I314" s="240">
        <f>K314+M314</f>
        <v>14000</v>
      </c>
      <c r="J314" s="292"/>
      <c r="K314" s="240">
        <v>14000</v>
      </c>
      <c r="L314" s="237"/>
      <c r="M314" s="237"/>
      <c r="N314" s="239">
        <f>Q314+R314+S314</f>
        <v>6387.804</v>
      </c>
      <c r="O314" s="239"/>
      <c r="P314" s="239">
        <f>SUM(Q314:S314)</f>
        <v>6387.804</v>
      </c>
      <c r="Q314" s="239">
        <v>6387.804</v>
      </c>
      <c r="R314" s="239">
        <v>0</v>
      </c>
      <c r="S314" s="239">
        <v>0</v>
      </c>
      <c r="T314" s="307"/>
      <c r="U314" s="306"/>
      <c r="V314" s="240">
        <f>W314+X314</f>
        <v>0</v>
      </c>
      <c r="W314" s="240"/>
      <c r="X314" s="240"/>
      <c r="Y314" s="240">
        <v>14000000000</v>
      </c>
      <c r="Z314" s="302"/>
      <c r="AA314" s="302"/>
      <c r="AB314" s="241">
        <f>Y314+Z314-AA314+X314</f>
        <v>14000000000</v>
      </c>
      <c r="AC314" s="242">
        <f>AD314+AE314+AF314</f>
        <v>6387804000</v>
      </c>
      <c r="AD314" s="302">
        <v>6387804000</v>
      </c>
      <c r="AE314" s="302"/>
      <c r="AF314" s="302"/>
      <c r="AG314" s="240"/>
      <c r="AH314" s="240">
        <f>AI314+AL314</f>
        <v>7612196000</v>
      </c>
      <c r="AI314" s="240">
        <f>SUM(AJ314:AK314)</f>
        <v>1398771000</v>
      </c>
      <c r="AJ314" s="240">
        <f>W314-AF314-AG314</f>
        <v>0</v>
      </c>
      <c r="AK314" s="341">
        <v>1398771000</v>
      </c>
      <c r="AL314" s="244">
        <v>6213425000</v>
      </c>
      <c r="AM314" s="236">
        <f>AB314-AD314-AE314-AK314-AL314</f>
        <v>0</v>
      </c>
      <c r="AN314" s="413" t="s">
        <v>1649</v>
      </c>
    </row>
    <row r="315" spans="1:40" s="321" customFormat="1" ht="19.5" customHeight="1">
      <c r="A315" s="218"/>
      <c r="B315" s="217" t="s">
        <v>1698</v>
      </c>
      <c r="C315" s="446"/>
      <c r="D315" s="447"/>
      <c r="E315" s="484"/>
      <c r="F315" s="220"/>
      <c r="G315" s="221"/>
      <c r="H315" s="221"/>
      <c r="I315" s="292">
        <f>SUM(I316)</f>
        <v>16000</v>
      </c>
      <c r="J315" s="240">
        <f aca="true" t="shared" si="190" ref="J315:U315">SUM(J316)</f>
        <v>0</v>
      </c>
      <c r="K315" s="292">
        <f t="shared" si="190"/>
        <v>16000</v>
      </c>
      <c r="L315" s="282">
        <f t="shared" si="190"/>
        <v>0</v>
      </c>
      <c r="M315" s="282">
        <f t="shared" si="190"/>
        <v>0</v>
      </c>
      <c r="N315" s="282">
        <f t="shared" si="190"/>
        <v>13263.896</v>
      </c>
      <c r="O315" s="282">
        <f t="shared" si="190"/>
        <v>0</v>
      </c>
      <c r="P315" s="282">
        <f t="shared" si="190"/>
        <v>13263.896</v>
      </c>
      <c r="Q315" s="282">
        <f t="shared" si="190"/>
        <v>13263.896</v>
      </c>
      <c r="R315" s="282">
        <f t="shared" si="190"/>
        <v>0</v>
      </c>
      <c r="S315" s="282">
        <f t="shared" si="190"/>
        <v>0</v>
      </c>
      <c r="T315" s="282">
        <f t="shared" si="190"/>
        <v>0</v>
      </c>
      <c r="U315" s="282">
        <f t="shared" si="190"/>
        <v>0</v>
      </c>
      <c r="V315" s="240">
        <f>W315+X315</f>
        <v>0</v>
      </c>
      <c r="W315" s="240"/>
      <c r="X315" s="240"/>
      <c r="Y315" s="240"/>
      <c r="Z315" s="302"/>
      <c r="AA315" s="302"/>
      <c r="AB315" s="241">
        <f>Y315+Z315-AA315+X315</f>
        <v>0</v>
      </c>
      <c r="AC315" s="242">
        <f>AD315+AE315+AF315</f>
        <v>0</v>
      </c>
      <c r="AD315" s="302"/>
      <c r="AE315" s="302"/>
      <c r="AF315" s="302"/>
      <c r="AG315" s="240"/>
      <c r="AH315" s="240"/>
      <c r="AI315" s="240"/>
      <c r="AJ315" s="240"/>
      <c r="AK315" s="302"/>
      <c r="AL315" s="244"/>
      <c r="AM315" s="235"/>
      <c r="AN315" s="224"/>
    </row>
    <row r="316" spans="1:40" s="321" customFormat="1" ht="19.5" customHeight="1">
      <c r="A316" s="232"/>
      <c r="B316" s="231" t="s">
        <v>1338</v>
      </c>
      <c r="C316" s="250" t="s">
        <v>1058</v>
      </c>
      <c r="D316" s="319" t="s">
        <v>1339</v>
      </c>
      <c r="E316" s="320"/>
      <c r="F316" s="235">
        <v>49000</v>
      </c>
      <c r="G316" s="236"/>
      <c r="H316" s="236"/>
      <c r="I316" s="240">
        <f>K316+M316</f>
        <v>16000</v>
      </c>
      <c r="J316" s="241"/>
      <c r="K316" s="240">
        <v>16000</v>
      </c>
      <c r="L316" s="237"/>
      <c r="M316" s="237"/>
      <c r="N316" s="239">
        <f>Q316+R316+S316</f>
        <v>13263.896</v>
      </c>
      <c r="O316" s="239"/>
      <c r="P316" s="239">
        <f>SUM(Q316:S316)</f>
        <v>13263.896</v>
      </c>
      <c r="Q316" s="239">
        <v>13263.896</v>
      </c>
      <c r="R316" s="239">
        <v>0</v>
      </c>
      <c r="S316" s="239">
        <v>0</v>
      </c>
      <c r="T316" s="301"/>
      <c r="U316" s="235"/>
      <c r="V316" s="240">
        <f>W316+X316</f>
        <v>0</v>
      </c>
      <c r="W316" s="240"/>
      <c r="X316" s="240"/>
      <c r="Y316" s="240">
        <v>16000000000</v>
      </c>
      <c r="Z316" s="302"/>
      <c r="AA316" s="302"/>
      <c r="AB316" s="241">
        <f>Y316+Z316-AA316+X316</f>
        <v>16000000000</v>
      </c>
      <c r="AC316" s="242">
        <f>AD316+AE316+AF316</f>
        <v>13263896000</v>
      </c>
      <c r="AD316" s="302">
        <v>13263896000</v>
      </c>
      <c r="AE316" s="302"/>
      <c r="AF316" s="302"/>
      <c r="AG316" s="240"/>
      <c r="AH316" s="240">
        <f>AI316+AL316</f>
        <v>2736104000</v>
      </c>
      <c r="AI316" s="240">
        <f>SUM(AJ316:AK316)</f>
        <v>2736104000</v>
      </c>
      <c r="AJ316" s="240">
        <f>W316-AF316-AG316</f>
        <v>0</v>
      </c>
      <c r="AK316" s="341">
        <v>2736104000</v>
      </c>
      <c r="AL316" s="244"/>
      <c r="AM316" s="236">
        <f>AB316-AD316-AE316-AK316-AL316</f>
        <v>0</v>
      </c>
      <c r="AN316" s="413" t="s">
        <v>1649</v>
      </c>
    </row>
    <row r="317" spans="1:41" s="321" customFormat="1" ht="19.5" customHeight="1">
      <c r="A317" s="218">
        <v>6</v>
      </c>
      <c r="B317" s="217" t="s">
        <v>15</v>
      </c>
      <c r="C317" s="218"/>
      <c r="D317" s="218"/>
      <c r="E317" s="219"/>
      <c r="F317" s="221"/>
      <c r="G317" s="221"/>
      <c r="H317" s="221"/>
      <c r="I317" s="223">
        <f>SUM(I318,I320)</f>
        <v>14000</v>
      </c>
      <c r="J317" s="223">
        <f aca="true" t="shared" si="191" ref="J317:AO317">SUM(J318,J320)</f>
        <v>0</v>
      </c>
      <c r="K317" s="223">
        <f t="shared" si="191"/>
        <v>14000</v>
      </c>
      <c r="L317" s="222">
        <f t="shared" si="191"/>
        <v>0</v>
      </c>
      <c r="M317" s="222">
        <f t="shared" si="191"/>
        <v>0</v>
      </c>
      <c r="N317" s="222">
        <f t="shared" si="191"/>
        <v>13943.033</v>
      </c>
      <c r="O317" s="222">
        <f t="shared" si="191"/>
        <v>0</v>
      </c>
      <c r="P317" s="222">
        <f t="shared" si="191"/>
        <v>13943.033</v>
      </c>
      <c r="Q317" s="222">
        <f t="shared" si="191"/>
        <v>13843.033</v>
      </c>
      <c r="R317" s="222">
        <f t="shared" si="191"/>
        <v>0</v>
      </c>
      <c r="S317" s="222">
        <f t="shared" si="191"/>
        <v>100</v>
      </c>
      <c r="T317" s="222">
        <f t="shared" si="191"/>
        <v>0</v>
      </c>
      <c r="U317" s="222">
        <f t="shared" si="191"/>
        <v>0</v>
      </c>
      <c r="V317" s="222">
        <f t="shared" si="191"/>
        <v>100000000</v>
      </c>
      <c r="W317" s="222">
        <f t="shared" si="191"/>
        <v>100000000</v>
      </c>
      <c r="X317" s="222">
        <f t="shared" si="191"/>
        <v>0</v>
      </c>
      <c r="Y317" s="222">
        <f t="shared" si="191"/>
        <v>2000000000</v>
      </c>
      <c r="Z317" s="222">
        <f t="shared" si="191"/>
        <v>0</v>
      </c>
      <c r="AA317" s="222">
        <f t="shared" si="191"/>
        <v>0</v>
      </c>
      <c r="AB317" s="222">
        <f t="shared" si="191"/>
        <v>2000000000</v>
      </c>
      <c r="AC317" s="222">
        <f t="shared" si="191"/>
        <v>2100000000</v>
      </c>
      <c r="AD317" s="222">
        <f t="shared" si="191"/>
        <v>2000000000</v>
      </c>
      <c r="AE317" s="222">
        <f t="shared" si="191"/>
        <v>0</v>
      </c>
      <c r="AF317" s="222">
        <f t="shared" si="191"/>
        <v>100000000</v>
      </c>
      <c r="AG317" s="222">
        <f t="shared" si="191"/>
        <v>0</v>
      </c>
      <c r="AH317" s="222">
        <f t="shared" si="191"/>
        <v>0</v>
      </c>
      <c r="AI317" s="222">
        <f t="shared" si="191"/>
        <v>0</v>
      </c>
      <c r="AJ317" s="222">
        <f t="shared" si="191"/>
        <v>0</v>
      </c>
      <c r="AK317" s="222">
        <f t="shared" si="191"/>
        <v>0</v>
      </c>
      <c r="AL317" s="222">
        <f t="shared" si="191"/>
        <v>0</v>
      </c>
      <c r="AM317" s="222">
        <f t="shared" si="191"/>
        <v>0</v>
      </c>
      <c r="AN317" s="222">
        <f t="shared" si="191"/>
        <v>0</v>
      </c>
      <c r="AO317" s="222">
        <f t="shared" si="191"/>
        <v>0</v>
      </c>
    </row>
    <row r="318" spans="1:41" s="321" customFormat="1" ht="19.5" customHeight="1">
      <c r="A318" s="218"/>
      <c r="B318" s="217" t="s">
        <v>16</v>
      </c>
      <c r="C318" s="218"/>
      <c r="D318" s="218"/>
      <c r="E318" s="219"/>
      <c r="F318" s="221"/>
      <c r="G318" s="221"/>
      <c r="H318" s="221"/>
      <c r="I318" s="292">
        <f>SUM(I319)</f>
        <v>2000</v>
      </c>
      <c r="J318" s="240">
        <f aca="true" t="shared" si="192" ref="J318:AO318">SUM(J319)</f>
        <v>0</v>
      </c>
      <c r="K318" s="292">
        <f t="shared" si="192"/>
        <v>2000</v>
      </c>
      <c r="L318" s="292">
        <f t="shared" si="192"/>
        <v>0</v>
      </c>
      <c r="M318" s="292">
        <f t="shared" si="192"/>
        <v>0</v>
      </c>
      <c r="N318" s="282">
        <f t="shared" si="192"/>
        <v>2100</v>
      </c>
      <c r="O318" s="282">
        <f t="shared" si="192"/>
        <v>0</v>
      </c>
      <c r="P318" s="282">
        <f t="shared" si="192"/>
        <v>2100</v>
      </c>
      <c r="Q318" s="282">
        <f t="shared" si="192"/>
        <v>2000</v>
      </c>
      <c r="R318" s="282">
        <f t="shared" si="192"/>
        <v>0</v>
      </c>
      <c r="S318" s="282">
        <f t="shared" si="192"/>
        <v>100</v>
      </c>
      <c r="T318" s="282">
        <f t="shared" si="192"/>
        <v>0</v>
      </c>
      <c r="U318" s="282">
        <f t="shared" si="192"/>
        <v>0</v>
      </c>
      <c r="V318" s="237">
        <f t="shared" si="192"/>
        <v>100000000</v>
      </c>
      <c r="W318" s="237">
        <f t="shared" si="192"/>
        <v>100000000</v>
      </c>
      <c r="X318" s="237">
        <f t="shared" si="192"/>
        <v>0</v>
      </c>
      <c r="Y318" s="237">
        <f t="shared" si="192"/>
        <v>2000000000</v>
      </c>
      <c r="Z318" s="237">
        <f t="shared" si="192"/>
        <v>0</v>
      </c>
      <c r="AA318" s="237">
        <f t="shared" si="192"/>
        <v>0</v>
      </c>
      <c r="AB318" s="237">
        <f t="shared" si="192"/>
        <v>2000000000</v>
      </c>
      <c r="AC318" s="237">
        <f t="shared" si="192"/>
        <v>2100000000</v>
      </c>
      <c r="AD318" s="237">
        <f t="shared" si="192"/>
        <v>2000000000</v>
      </c>
      <c r="AE318" s="237">
        <f t="shared" si="192"/>
        <v>0</v>
      </c>
      <c r="AF318" s="237">
        <f t="shared" si="192"/>
        <v>100000000</v>
      </c>
      <c r="AG318" s="237">
        <f t="shared" si="192"/>
        <v>0</v>
      </c>
      <c r="AH318" s="237">
        <f t="shared" si="192"/>
        <v>0</v>
      </c>
      <c r="AI318" s="237">
        <f t="shared" si="192"/>
        <v>0</v>
      </c>
      <c r="AJ318" s="237">
        <f t="shared" si="192"/>
        <v>0</v>
      </c>
      <c r="AK318" s="237">
        <f t="shared" si="192"/>
        <v>0</v>
      </c>
      <c r="AL318" s="237">
        <f t="shared" si="192"/>
        <v>0</v>
      </c>
      <c r="AM318" s="237">
        <f t="shared" si="192"/>
        <v>0</v>
      </c>
      <c r="AN318" s="237">
        <f t="shared" si="192"/>
        <v>0</v>
      </c>
      <c r="AO318" s="237">
        <f t="shared" si="192"/>
        <v>0</v>
      </c>
    </row>
    <row r="319" spans="1:40" s="321" customFormat="1" ht="19.5" customHeight="1">
      <c r="A319" s="232"/>
      <c r="B319" s="231" t="s">
        <v>17</v>
      </c>
      <c r="C319" s="250" t="s">
        <v>1341</v>
      </c>
      <c r="D319" s="319" t="s">
        <v>1342</v>
      </c>
      <c r="E319" s="300" t="s">
        <v>18</v>
      </c>
      <c r="F319" s="235">
        <v>22683</v>
      </c>
      <c r="G319" s="236">
        <v>12900</v>
      </c>
      <c r="H319" s="318">
        <v>12900</v>
      </c>
      <c r="I319" s="240">
        <f>K319+M319</f>
        <v>2000</v>
      </c>
      <c r="J319" s="485"/>
      <c r="K319" s="240">
        <v>2000</v>
      </c>
      <c r="L319" s="240"/>
      <c r="M319" s="240"/>
      <c r="N319" s="239">
        <f>Q319+R319+S319</f>
        <v>2100</v>
      </c>
      <c r="O319" s="239"/>
      <c r="P319" s="239">
        <f>SUM(Q319:S319)</f>
        <v>2100</v>
      </c>
      <c r="Q319" s="239">
        <v>2000</v>
      </c>
      <c r="R319" s="239">
        <v>0</v>
      </c>
      <c r="S319" s="239">
        <v>100</v>
      </c>
      <c r="T319" s="301"/>
      <c r="U319" s="235"/>
      <c r="V319" s="240">
        <f>W319+X319</f>
        <v>100000000</v>
      </c>
      <c r="W319" s="240">
        <v>100000000</v>
      </c>
      <c r="X319" s="240"/>
      <c r="Y319" s="240">
        <v>2000000000</v>
      </c>
      <c r="Z319" s="302"/>
      <c r="AA319" s="302"/>
      <c r="AB319" s="241">
        <f>Y319+Z319-AA319+X319</f>
        <v>2000000000</v>
      </c>
      <c r="AC319" s="242">
        <f>AD319+AE319+AF319</f>
        <v>2100000000</v>
      </c>
      <c r="AD319" s="302">
        <v>2000000000</v>
      </c>
      <c r="AE319" s="302"/>
      <c r="AF319" s="302">
        <v>100000000</v>
      </c>
      <c r="AG319" s="240"/>
      <c r="AH319" s="240">
        <f>AI319+AL319</f>
        <v>0</v>
      </c>
      <c r="AI319" s="240">
        <f>SUM(AJ319:AK319)</f>
        <v>0</v>
      </c>
      <c r="AJ319" s="240">
        <f>W319-AF319-AG319</f>
        <v>0</v>
      </c>
      <c r="AK319" s="302"/>
      <c r="AL319" s="244"/>
      <c r="AM319" s="236">
        <f>AB319-AD319-AE319-AK319-AL319</f>
        <v>0</v>
      </c>
      <c r="AN319" s="413" t="s">
        <v>1649</v>
      </c>
    </row>
    <row r="320" spans="1:40" s="321" customFormat="1" ht="19.5" customHeight="1">
      <c r="A320" s="232"/>
      <c r="B320" s="217" t="s">
        <v>1698</v>
      </c>
      <c r="C320" s="250"/>
      <c r="D320" s="319"/>
      <c r="E320" s="300"/>
      <c r="F320" s="235"/>
      <c r="G320" s="236"/>
      <c r="H320" s="318"/>
      <c r="I320" s="292">
        <f>SUM(I321:I322)</f>
        <v>12000</v>
      </c>
      <c r="J320" s="292">
        <f aca="true" t="shared" si="193" ref="J320:U320">SUM(J321:J322)</f>
        <v>0</v>
      </c>
      <c r="K320" s="292">
        <f t="shared" si="193"/>
        <v>12000</v>
      </c>
      <c r="L320" s="292">
        <f t="shared" si="193"/>
        <v>0</v>
      </c>
      <c r="M320" s="292">
        <f t="shared" si="193"/>
        <v>0</v>
      </c>
      <c r="N320" s="282">
        <f t="shared" si="193"/>
        <v>11843.033</v>
      </c>
      <c r="O320" s="282">
        <f t="shared" si="193"/>
        <v>0</v>
      </c>
      <c r="P320" s="282">
        <f t="shared" si="193"/>
        <v>11843.033</v>
      </c>
      <c r="Q320" s="282">
        <f t="shared" si="193"/>
        <v>11843.033</v>
      </c>
      <c r="R320" s="282">
        <f t="shared" si="193"/>
        <v>0</v>
      </c>
      <c r="S320" s="282">
        <f t="shared" si="193"/>
        <v>0</v>
      </c>
      <c r="T320" s="282">
        <f t="shared" si="193"/>
        <v>0</v>
      </c>
      <c r="U320" s="282">
        <f t="shared" si="193"/>
        <v>0</v>
      </c>
      <c r="V320" s="240"/>
      <c r="W320" s="240"/>
      <c r="X320" s="240"/>
      <c r="Y320" s="240"/>
      <c r="Z320" s="302"/>
      <c r="AA320" s="302"/>
      <c r="AB320" s="302"/>
      <c r="AC320" s="302"/>
      <c r="AD320" s="302"/>
      <c r="AE320" s="302"/>
      <c r="AF320" s="302"/>
      <c r="AG320" s="240"/>
      <c r="AH320" s="240"/>
      <c r="AI320" s="240"/>
      <c r="AJ320" s="240"/>
      <c r="AK320" s="302"/>
      <c r="AL320" s="244"/>
      <c r="AM320" s="235"/>
      <c r="AN320" s="224"/>
    </row>
    <row r="321" spans="1:40" s="321" customFormat="1" ht="19.5" customHeight="1">
      <c r="A321" s="232"/>
      <c r="B321" s="231" t="s">
        <v>19</v>
      </c>
      <c r="C321" s="250" t="s">
        <v>1051</v>
      </c>
      <c r="D321" s="319" t="s">
        <v>20</v>
      </c>
      <c r="E321" s="300"/>
      <c r="F321" s="235">
        <v>9363</v>
      </c>
      <c r="G321" s="236"/>
      <c r="H321" s="318"/>
      <c r="I321" s="240">
        <f>K321+M321</f>
        <v>5781</v>
      </c>
      <c r="J321" s="485"/>
      <c r="K321" s="240">
        <v>5781</v>
      </c>
      <c r="L321" s="240"/>
      <c r="M321" s="240"/>
      <c r="N321" s="239">
        <f>Q321+R321+S321</f>
        <v>5781</v>
      </c>
      <c r="O321" s="239"/>
      <c r="P321" s="239">
        <f>SUM(Q321:S321)</f>
        <v>5781</v>
      </c>
      <c r="Q321" s="239">
        <v>5781</v>
      </c>
      <c r="R321" s="239">
        <v>0</v>
      </c>
      <c r="S321" s="239">
        <v>0</v>
      </c>
      <c r="T321" s="301"/>
      <c r="U321" s="235"/>
      <c r="V321" s="240">
        <f>W321+X321</f>
        <v>0</v>
      </c>
      <c r="W321" s="240"/>
      <c r="X321" s="240"/>
      <c r="Y321" s="240">
        <v>5781000000</v>
      </c>
      <c r="Z321" s="302"/>
      <c r="AA321" s="302"/>
      <c r="AB321" s="241">
        <f>Y321+Z321-AA321+X321</f>
        <v>5781000000</v>
      </c>
      <c r="AC321" s="242">
        <f>AD321+AE321+AF321</f>
        <v>5781000000</v>
      </c>
      <c r="AD321" s="242">
        <v>5781000000</v>
      </c>
      <c r="AE321" s="302"/>
      <c r="AF321" s="302"/>
      <c r="AG321" s="240"/>
      <c r="AH321" s="240">
        <f>AI321+AL321</f>
        <v>0</v>
      </c>
      <c r="AI321" s="240">
        <f>SUM(AJ321:AK321)</f>
        <v>0</v>
      </c>
      <c r="AJ321" s="240">
        <f>W321-AF321-AG321</f>
        <v>0</v>
      </c>
      <c r="AK321" s="242"/>
      <c r="AL321" s="244"/>
      <c r="AM321" s="236">
        <f>AB321-AD321-AE321-AK321-AL321</f>
        <v>0</v>
      </c>
      <c r="AN321" s="413" t="s">
        <v>1649</v>
      </c>
    </row>
    <row r="322" spans="1:40" s="321" customFormat="1" ht="19.5" customHeight="1">
      <c r="A322" s="232"/>
      <c r="B322" s="367" t="s">
        <v>21</v>
      </c>
      <c r="C322" s="250" t="s">
        <v>1341</v>
      </c>
      <c r="D322" s="319" t="s">
        <v>20</v>
      </c>
      <c r="E322" s="300"/>
      <c r="F322" s="235">
        <v>10900</v>
      </c>
      <c r="G322" s="236"/>
      <c r="H322" s="318"/>
      <c r="I322" s="240">
        <f>K322+M322</f>
        <v>6219</v>
      </c>
      <c r="J322" s="485"/>
      <c r="K322" s="240">
        <v>6219</v>
      </c>
      <c r="L322" s="240"/>
      <c r="M322" s="240"/>
      <c r="N322" s="239">
        <f>Q322+R322+S322</f>
        <v>6062.033</v>
      </c>
      <c r="O322" s="239"/>
      <c r="P322" s="239">
        <f>SUM(Q322:S322)</f>
        <v>6062.033</v>
      </c>
      <c r="Q322" s="239">
        <v>6062.033</v>
      </c>
      <c r="R322" s="239">
        <v>0</v>
      </c>
      <c r="S322" s="239">
        <v>0</v>
      </c>
      <c r="T322" s="301"/>
      <c r="U322" s="235"/>
      <c r="V322" s="240">
        <f>W322+X322</f>
        <v>0</v>
      </c>
      <c r="W322" s="240"/>
      <c r="X322" s="240"/>
      <c r="Y322" s="240">
        <v>6219000000</v>
      </c>
      <c r="Z322" s="302"/>
      <c r="AA322" s="302"/>
      <c r="AB322" s="241">
        <f>Y322+Z322-AA322+X322</f>
        <v>6219000000</v>
      </c>
      <c r="AC322" s="242">
        <f>AD322+AE322+AF322</f>
        <v>6062033000</v>
      </c>
      <c r="AD322" s="483">
        <v>6062033000</v>
      </c>
      <c r="AE322" s="302"/>
      <c r="AF322" s="302"/>
      <c r="AG322" s="240"/>
      <c r="AH322" s="240">
        <f>AI322+AL322</f>
        <v>156967000</v>
      </c>
      <c r="AI322" s="240">
        <f>SUM(AJ322:AK322)</f>
        <v>156967000</v>
      </c>
      <c r="AJ322" s="240">
        <f>W322-AF322-AG322</f>
        <v>0</v>
      </c>
      <c r="AK322" s="341">
        <v>156967000</v>
      </c>
      <c r="AL322" s="244"/>
      <c r="AM322" s="236">
        <f>AB322-AD322-AE322-AK322-AL322</f>
        <v>0</v>
      </c>
      <c r="AN322" s="413" t="s">
        <v>1649</v>
      </c>
    </row>
    <row r="323" spans="1:41" s="321" customFormat="1" ht="19.5" customHeight="1">
      <c r="A323" s="216">
        <v>7</v>
      </c>
      <c r="B323" s="217" t="s">
        <v>22</v>
      </c>
      <c r="C323" s="446"/>
      <c r="D323" s="216"/>
      <c r="E323" s="484"/>
      <c r="F323" s="221"/>
      <c r="G323" s="221"/>
      <c r="H323" s="221"/>
      <c r="I323" s="222">
        <f>SUM(I324,I326)</f>
        <v>9713</v>
      </c>
      <c r="J323" s="222">
        <f aca="true" t="shared" si="194" ref="J323:AO323">SUM(J324,J326)</f>
        <v>0</v>
      </c>
      <c r="K323" s="222">
        <f t="shared" si="194"/>
        <v>9713</v>
      </c>
      <c r="L323" s="222">
        <f t="shared" si="194"/>
        <v>0</v>
      </c>
      <c r="M323" s="222">
        <f t="shared" si="194"/>
        <v>0</v>
      </c>
      <c r="N323" s="222">
        <f t="shared" si="194"/>
        <v>7141.214202</v>
      </c>
      <c r="O323" s="222">
        <f t="shared" si="194"/>
        <v>0</v>
      </c>
      <c r="P323" s="222">
        <f t="shared" si="194"/>
        <v>7141.214202</v>
      </c>
      <c r="Q323" s="222">
        <f t="shared" si="194"/>
        <v>7141.214202</v>
      </c>
      <c r="R323" s="222">
        <f t="shared" si="194"/>
        <v>0</v>
      </c>
      <c r="S323" s="222">
        <f t="shared" si="194"/>
        <v>0</v>
      </c>
      <c r="T323" s="222">
        <f t="shared" si="194"/>
        <v>0</v>
      </c>
      <c r="U323" s="222">
        <f t="shared" si="194"/>
        <v>0</v>
      </c>
      <c r="V323" s="222">
        <f t="shared" si="194"/>
        <v>0</v>
      </c>
      <c r="W323" s="222">
        <f t="shared" si="194"/>
        <v>0</v>
      </c>
      <c r="X323" s="222">
        <f t="shared" si="194"/>
        <v>0</v>
      </c>
      <c r="Y323" s="222">
        <f t="shared" si="194"/>
        <v>0</v>
      </c>
      <c r="Z323" s="222">
        <f t="shared" si="194"/>
        <v>0</v>
      </c>
      <c r="AA323" s="222">
        <f t="shared" si="194"/>
        <v>0</v>
      </c>
      <c r="AB323" s="222">
        <f t="shared" si="194"/>
        <v>0</v>
      </c>
      <c r="AC323" s="222">
        <f t="shared" si="194"/>
        <v>0</v>
      </c>
      <c r="AD323" s="222">
        <f t="shared" si="194"/>
        <v>0</v>
      </c>
      <c r="AE323" s="222">
        <f t="shared" si="194"/>
        <v>0</v>
      </c>
      <c r="AF323" s="222">
        <f t="shared" si="194"/>
        <v>0</v>
      </c>
      <c r="AG323" s="222">
        <f t="shared" si="194"/>
        <v>0</v>
      </c>
      <c r="AH323" s="222">
        <f t="shared" si="194"/>
        <v>0</v>
      </c>
      <c r="AI323" s="222">
        <f t="shared" si="194"/>
        <v>0</v>
      </c>
      <c r="AJ323" s="222">
        <f t="shared" si="194"/>
        <v>0</v>
      </c>
      <c r="AK323" s="222">
        <f t="shared" si="194"/>
        <v>0</v>
      </c>
      <c r="AL323" s="222">
        <f t="shared" si="194"/>
        <v>0</v>
      </c>
      <c r="AM323" s="222">
        <f t="shared" si="194"/>
        <v>0</v>
      </c>
      <c r="AN323" s="222">
        <f t="shared" si="194"/>
        <v>0</v>
      </c>
      <c r="AO323" s="222">
        <f t="shared" si="194"/>
        <v>0</v>
      </c>
    </row>
    <row r="324" spans="1:40" s="321" customFormat="1" ht="19.5" customHeight="1">
      <c r="A324" s="216"/>
      <c r="B324" s="217" t="s">
        <v>23</v>
      </c>
      <c r="C324" s="446"/>
      <c r="D324" s="216"/>
      <c r="E324" s="484"/>
      <c r="F324" s="221"/>
      <c r="G324" s="221"/>
      <c r="H324" s="221"/>
      <c r="I324" s="282">
        <f>SUM(I325)</f>
        <v>6332</v>
      </c>
      <c r="J324" s="282">
        <f aca="true" t="shared" si="195" ref="J324:U324">SUM(J325)</f>
        <v>0</v>
      </c>
      <c r="K324" s="282">
        <f t="shared" si="195"/>
        <v>6332</v>
      </c>
      <c r="L324" s="282">
        <f t="shared" si="195"/>
        <v>0</v>
      </c>
      <c r="M324" s="282">
        <f t="shared" si="195"/>
        <v>0</v>
      </c>
      <c r="N324" s="282">
        <f t="shared" si="195"/>
        <v>6332</v>
      </c>
      <c r="O324" s="282">
        <f t="shared" si="195"/>
        <v>0</v>
      </c>
      <c r="P324" s="282">
        <f t="shared" si="195"/>
        <v>6332</v>
      </c>
      <c r="Q324" s="282">
        <f t="shared" si="195"/>
        <v>6332</v>
      </c>
      <c r="R324" s="282">
        <f t="shared" si="195"/>
        <v>0</v>
      </c>
      <c r="S324" s="282">
        <f t="shared" si="195"/>
        <v>0</v>
      </c>
      <c r="T324" s="282">
        <f t="shared" si="195"/>
        <v>0</v>
      </c>
      <c r="U324" s="282">
        <f t="shared" si="195"/>
        <v>0</v>
      </c>
      <c r="V324" s="240"/>
      <c r="W324" s="240"/>
      <c r="X324" s="240"/>
      <c r="Y324" s="240"/>
      <c r="Z324" s="223"/>
      <c r="AA324" s="223"/>
      <c r="AB324" s="223"/>
      <c r="AC324" s="242">
        <f>AD324+AE324+AF324</f>
        <v>0</v>
      </c>
      <c r="AD324" s="223"/>
      <c r="AE324" s="223"/>
      <c r="AF324" s="223"/>
      <c r="AG324" s="240"/>
      <c r="AH324" s="240"/>
      <c r="AI324" s="240"/>
      <c r="AJ324" s="240"/>
      <c r="AK324" s="223"/>
      <c r="AL324" s="244"/>
      <c r="AM324" s="221"/>
      <c r="AN324" s="224"/>
    </row>
    <row r="325" spans="1:40" s="414" customFormat="1" ht="19.5" customHeight="1">
      <c r="A325" s="230"/>
      <c r="B325" s="231" t="s">
        <v>24</v>
      </c>
      <c r="C325" s="250" t="s">
        <v>25</v>
      </c>
      <c r="D325" s="230" t="s">
        <v>1369</v>
      </c>
      <c r="E325" s="320" t="s">
        <v>26</v>
      </c>
      <c r="F325" s="235">
        <v>61000</v>
      </c>
      <c r="G325" s="236">
        <v>43721</v>
      </c>
      <c r="H325" s="236">
        <v>43721</v>
      </c>
      <c r="I325" s="237">
        <f>K325+M325</f>
        <v>6332</v>
      </c>
      <c r="J325" s="238"/>
      <c r="K325" s="237">
        <v>6332</v>
      </c>
      <c r="L325" s="237"/>
      <c r="M325" s="237"/>
      <c r="N325" s="239">
        <f>Q325+R325+S325</f>
        <v>6332</v>
      </c>
      <c r="O325" s="239"/>
      <c r="P325" s="239">
        <f>SUM(Q325:S325)</f>
        <v>6332</v>
      </c>
      <c r="Q325" s="239">
        <v>6332</v>
      </c>
      <c r="R325" s="239">
        <v>0</v>
      </c>
      <c r="S325" s="239">
        <v>0</v>
      </c>
      <c r="T325" s="301"/>
      <c r="U325" s="235"/>
      <c r="V325" s="240">
        <f>W325+X325</f>
        <v>0</v>
      </c>
      <c r="W325" s="240"/>
      <c r="X325" s="240"/>
      <c r="Y325" s="240">
        <v>6332000000</v>
      </c>
      <c r="Z325" s="302"/>
      <c r="AA325" s="302"/>
      <c r="AB325" s="241">
        <f>Y325+Z325-AA325+X325</f>
        <v>6332000000</v>
      </c>
      <c r="AC325" s="242">
        <f>AD325+AE325+AF325</f>
        <v>6332000000</v>
      </c>
      <c r="AD325" s="465">
        <f>4200000000+2132000000</f>
        <v>6332000000</v>
      </c>
      <c r="AE325" s="302"/>
      <c r="AF325" s="302"/>
      <c r="AG325" s="240"/>
      <c r="AH325" s="240">
        <f>AI325+AL325</f>
        <v>0</v>
      </c>
      <c r="AI325" s="240">
        <f>SUM(AJ325:AK325)</f>
        <v>0</v>
      </c>
      <c r="AJ325" s="240">
        <f>W325-AF325-AG325</f>
        <v>0</v>
      </c>
      <c r="AK325" s="302"/>
      <c r="AL325" s="244"/>
      <c r="AM325" s="236">
        <f>AB325-AD325-AE325-AK325-AL325</f>
        <v>0</v>
      </c>
      <c r="AN325" s="413" t="s">
        <v>27</v>
      </c>
    </row>
    <row r="326" spans="1:40" s="474" customFormat="1" ht="19.5" customHeight="1">
      <c r="A326" s="275"/>
      <c r="B326" s="287" t="s">
        <v>1329</v>
      </c>
      <c r="C326" s="277"/>
      <c r="D326" s="275"/>
      <c r="E326" s="486"/>
      <c r="F326" s="290"/>
      <c r="G326" s="291"/>
      <c r="H326" s="291"/>
      <c r="I326" s="282">
        <f aca="true" t="shared" si="196" ref="I326:Q326">SUM(I327:I327)</f>
        <v>3381</v>
      </c>
      <c r="J326" s="282">
        <f t="shared" si="196"/>
        <v>0</v>
      </c>
      <c r="K326" s="282">
        <f t="shared" si="196"/>
        <v>3381</v>
      </c>
      <c r="L326" s="282">
        <f t="shared" si="196"/>
        <v>0</v>
      </c>
      <c r="M326" s="282">
        <f t="shared" si="196"/>
        <v>0</v>
      </c>
      <c r="N326" s="282">
        <f t="shared" si="196"/>
        <v>809.214202</v>
      </c>
      <c r="O326" s="282">
        <f t="shared" si="196"/>
        <v>0</v>
      </c>
      <c r="P326" s="282">
        <f t="shared" si="196"/>
        <v>809.214202</v>
      </c>
      <c r="Q326" s="282">
        <f t="shared" si="196"/>
        <v>809.214202</v>
      </c>
      <c r="R326" s="282"/>
      <c r="S326" s="282">
        <f>SUM(S327:S327)</f>
        <v>0</v>
      </c>
      <c r="T326" s="282">
        <f>SUM(T327:T327)</f>
        <v>0</v>
      </c>
      <c r="U326" s="282">
        <f>SUM(U327:U327)</f>
        <v>0</v>
      </c>
      <c r="V326" s="240"/>
      <c r="W326" s="240"/>
      <c r="X326" s="240"/>
      <c r="Y326" s="240"/>
      <c r="Z326" s="297"/>
      <c r="AA326" s="297"/>
      <c r="AB326" s="297"/>
      <c r="AC326" s="242">
        <f>AD326+AE326+AF326</f>
        <v>0</v>
      </c>
      <c r="AD326" s="297"/>
      <c r="AE326" s="297"/>
      <c r="AF326" s="297"/>
      <c r="AG326" s="240"/>
      <c r="AH326" s="240"/>
      <c r="AI326" s="240"/>
      <c r="AJ326" s="240"/>
      <c r="AK326" s="297"/>
      <c r="AL326" s="244"/>
      <c r="AM326" s="290"/>
      <c r="AN326" s="293"/>
    </row>
    <row r="327" spans="1:40" s="414" customFormat="1" ht="19.5" customHeight="1">
      <c r="A327" s="230"/>
      <c r="B327" s="231" t="s">
        <v>28</v>
      </c>
      <c r="C327" s="250" t="s">
        <v>25</v>
      </c>
      <c r="D327" s="230" t="s">
        <v>1369</v>
      </c>
      <c r="E327" s="320" t="s">
        <v>29</v>
      </c>
      <c r="F327" s="235">
        <v>13955</v>
      </c>
      <c r="G327" s="236">
        <v>8483</v>
      </c>
      <c r="H327" s="236">
        <v>8483</v>
      </c>
      <c r="I327" s="237">
        <f>K327+M327</f>
        <v>3381</v>
      </c>
      <c r="J327" s="238"/>
      <c r="K327" s="237">
        <v>3381</v>
      </c>
      <c r="L327" s="237"/>
      <c r="M327" s="237"/>
      <c r="N327" s="239">
        <f>Q327+R327+S327</f>
        <v>809.214202</v>
      </c>
      <c r="O327" s="239"/>
      <c r="P327" s="239">
        <f>SUM(Q327:S327)</f>
        <v>809.214202</v>
      </c>
      <c r="Q327" s="239">
        <v>809.214202</v>
      </c>
      <c r="R327" s="239"/>
      <c r="S327" s="239">
        <v>0</v>
      </c>
      <c r="T327" s="301"/>
      <c r="U327" s="235"/>
      <c r="V327" s="240">
        <f>W327+X327</f>
        <v>0</v>
      </c>
      <c r="W327" s="240"/>
      <c r="X327" s="240"/>
      <c r="Y327" s="240">
        <v>3381000000</v>
      </c>
      <c r="Z327" s="302"/>
      <c r="AA327" s="302"/>
      <c r="AB327" s="241">
        <f>Y327+Z327-AA327+X327</f>
        <v>3381000000</v>
      </c>
      <c r="AC327" s="242">
        <f>AD327+AE327+AF327</f>
        <v>809214202</v>
      </c>
      <c r="AD327" s="465">
        <f>428481202+380733000</f>
        <v>809214202</v>
      </c>
      <c r="AE327" s="302"/>
      <c r="AF327" s="302"/>
      <c r="AG327" s="240"/>
      <c r="AH327" s="240">
        <f>AI327+AL327</f>
        <v>2571518798</v>
      </c>
      <c r="AI327" s="240">
        <f>SUM(AJ327:AK327)</f>
        <v>63299600</v>
      </c>
      <c r="AJ327" s="240">
        <f>W327-AF327-AG327</f>
        <v>0</v>
      </c>
      <c r="AK327" s="341">
        <v>63299600</v>
      </c>
      <c r="AL327" s="244">
        <v>2508219198</v>
      </c>
      <c r="AM327" s="236">
        <f>AB327-AD327-AE327-AK327-AL327</f>
        <v>267000</v>
      </c>
      <c r="AN327" s="413" t="s">
        <v>27</v>
      </c>
    </row>
    <row r="328" spans="1:40" s="321" customFormat="1" ht="19.5" customHeight="1">
      <c r="A328" s="216">
        <v>8</v>
      </c>
      <c r="B328" s="487" t="s">
        <v>30</v>
      </c>
      <c r="C328" s="218"/>
      <c r="D328" s="456"/>
      <c r="E328" s="219"/>
      <c r="F328" s="220"/>
      <c r="G328" s="221"/>
      <c r="H328" s="221"/>
      <c r="I328" s="223">
        <f>SUM(I329)</f>
        <v>50000</v>
      </c>
      <c r="J328" s="223">
        <f aca="true" t="shared" si="197" ref="J328:U329">SUM(J329)</f>
        <v>0</v>
      </c>
      <c r="K328" s="223">
        <f t="shared" si="197"/>
        <v>50000</v>
      </c>
      <c r="L328" s="223">
        <f t="shared" si="197"/>
        <v>0</v>
      </c>
      <c r="M328" s="223">
        <f t="shared" si="197"/>
        <v>0</v>
      </c>
      <c r="N328" s="222">
        <f t="shared" si="197"/>
        <v>57840.478577</v>
      </c>
      <c r="O328" s="222">
        <f t="shared" si="197"/>
        <v>0</v>
      </c>
      <c r="P328" s="222">
        <f t="shared" si="197"/>
        <v>57840.478577</v>
      </c>
      <c r="Q328" s="222">
        <f t="shared" si="197"/>
        <v>48771.226777</v>
      </c>
      <c r="R328" s="222"/>
      <c r="S328" s="222">
        <f t="shared" si="197"/>
        <v>9069.2518</v>
      </c>
      <c r="T328" s="223">
        <f t="shared" si="197"/>
        <v>0</v>
      </c>
      <c r="U328" s="221"/>
      <c r="V328" s="223">
        <f>SUM(V330)</f>
        <v>10814909800</v>
      </c>
      <c r="W328" s="223">
        <f aca="true" t="shared" si="198" ref="W328:AH328">SUM(W330)</f>
        <v>10814909800</v>
      </c>
      <c r="X328" s="223">
        <f t="shared" si="198"/>
        <v>0</v>
      </c>
      <c r="Y328" s="223">
        <f t="shared" si="198"/>
        <v>50000000000</v>
      </c>
      <c r="Z328" s="223">
        <f>SUM(Z330)</f>
        <v>0</v>
      </c>
      <c r="AA328" s="223">
        <f>SUM(AA330)</f>
        <v>0</v>
      </c>
      <c r="AB328" s="223">
        <f>SUM(AB330)</f>
        <v>50000000000</v>
      </c>
      <c r="AC328" s="223">
        <f>SUM(AC330)</f>
        <v>57840478577</v>
      </c>
      <c r="AD328" s="223">
        <f t="shared" si="198"/>
        <v>48771226777</v>
      </c>
      <c r="AE328" s="223">
        <f t="shared" si="198"/>
        <v>0</v>
      </c>
      <c r="AF328" s="223">
        <f t="shared" si="198"/>
        <v>9069251800</v>
      </c>
      <c r="AG328" s="223">
        <f t="shared" si="198"/>
        <v>0</v>
      </c>
      <c r="AH328" s="223">
        <f t="shared" si="198"/>
        <v>2974431223</v>
      </c>
      <c r="AI328" s="223">
        <f>SUM(AI330)</f>
        <v>2974431223</v>
      </c>
      <c r="AJ328" s="223">
        <f>SUM(AJ330)</f>
        <v>1745658000</v>
      </c>
      <c r="AK328" s="223">
        <f>SUM(AK330)</f>
        <v>1228773223</v>
      </c>
      <c r="AL328" s="221"/>
      <c r="AM328" s="221">
        <f>SUM(AM330)</f>
        <v>0</v>
      </c>
      <c r="AN328" s="224"/>
    </row>
    <row r="329" spans="1:40" s="321" customFormat="1" ht="19.5" customHeight="1">
      <c r="A329" s="216"/>
      <c r="B329" s="487" t="s">
        <v>1254</v>
      </c>
      <c r="C329" s="218"/>
      <c r="D329" s="456"/>
      <c r="E329" s="219"/>
      <c r="F329" s="220"/>
      <c r="G329" s="221"/>
      <c r="H329" s="221"/>
      <c r="I329" s="292">
        <f>SUM(I330)</f>
        <v>50000</v>
      </c>
      <c r="J329" s="292">
        <f t="shared" si="197"/>
        <v>0</v>
      </c>
      <c r="K329" s="292">
        <f t="shared" si="197"/>
        <v>50000</v>
      </c>
      <c r="L329" s="282">
        <f t="shared" si="197"/>
        <v>0</v>
      </c>
      <c r="M329" s="282">
        <f t="shared" si="197"/>
        <v>0</v>
      </c>
      <c r="N329" s="282">
        <f t="shared" si="197"/>
        <v>57840.478577</v>
      </c>
      <c r="O329" s="282">
        <f t="shared" si="197"/>
        <v>0</v>
      </c>
      <c r="P329" s="282">
        <f t="shared" si="197"/>
        <v>57840.478577</v>
      </c>
      <c r="Q329" s="282">
        <f t="shared" si="197"/>
        <v>48771.226777</v>
      </c>
      <c r="R329" s="282"/>
      <c r="S329" s="282">
        <f t="shared" si="197"/>
        <v>9069.2518</v>
      </c>
      <c r="T329" s="282">
        <f t="shared" si="197"/>
        <v>0</v>
      </c>
      <c r="U329" s="282">
        <f t="shared" si="197"/>
        <v>0</v>
      </c>
      <c r="V329" s="240"/>
      <c r="W329" s="240"/>
      <c r="X329" s="240"/>
      <c r="Y329" s="240"/>
      <c r="Z329" s="223"/>
      <c r="AA329" s="223"/>
      <c r="AB329" s="223"/>
      <c r="AC329" s="223"/>
      <c r="AD329" s="223"/>
      <c r="AE329" s="223"/>
      <c r="AF329" s="223"/>
      <c r="AG329" s="240"/>
      <c r="AH329" s="240"/>
      <c r="AI329" s="240"/>
      <c r="AJ329" s="240"/>
      <c r="AK329" s="223"/>
      <c r="AL329" s="244"/>
      <c r="AM329" s="221"/>
      <c r="AN329" s="224"/>
    </row>
    <row r="330" spans="1:40" s="414" customFormat="1" ht="19.5" customHeight="1">
      <c r="A330" s="230"/>
      <c r="B330" s="231" t="s">
        <v>31</v>
      </c>
      <c r="C330" s="232" t="s">
        <v>1553</v>
      </c>
      <c r="D330" s="233" t="s">
        <v>32</v>
      </c>
      <c r="E330" s="234"/>
      <c r="F330" s="235">
        <v>165000</v>
      </c>
      <c r="G330" s="236">
        <v>50000</v>
      </c>
      <c r="H330" s="236">
        <v>50000</v>
      </c>
      <c r="I330" s="240">
        <f>K330+M330</f>
        <v>50000</v>
      </c>
      <c r="J330" s="241"/>
      <c r="K330" s="240">
        <v>50000</v>
      </c>
      <c r="L330" s="237"/>
      <c r="M330" s="237"/>
      <c r="N330" s="239">
        <f>Q330+R330+S330</f>
        <v>57840.478577</v>
      </c>
      <c r="O330" s="239"/>
      <c r="P330" s="239">
        <f>SUM(Q330:S330)</f>
        <v>57840.478577</v>
      </c>
      <c r="Q330" s="239">
        <v>48771.226777</v>
      </c>
      <c r="R330" s="239"/>
      <c r="S330" s="239">
        <v>9069.2518</v>
      </c>
      <c r="T330" s="488"/>
      <c r="U330" s="489"/>
      <c r="V330" s="240">
        <f>W330+X330</f>
        <v>10814909800</v>
      </c>
      <c r="W330" s="240">
        <v>10814909800</v>
      </c>
      <c r="X330" s="240"/>
      <c r="Y330" s="240">
        <v>50000000000</v>
      </c>
      <c r="Z330" s="302"/>
      <c r="AA330" s="302"/>
      <c r="AB330" s="241">
        <f>Y330+Z330-AA330+X330</f>
        <v>50000000000</v>
      </c>
      <c r="AC330" s="242">
        <f>AD330+AE330+AF330</f>
        <v>57840478577</v>
      </c>
      <c r="AD330" s="465">
        <v>48771226777</v>
      </c>
      <c r="AE330" s="302"/>
      <c r="AF330" s="476">
        <v>9069251800</v>
      </c>
      <c r="AG330" s="240"/>
      <c r="AH330" s="240">
        <f>AI330+AL330</f>
        <v>2974431223</v>
      </c>
      <c r="AI330" s="240">
        <f>SUM(AJ330:AK330)</f>
        <v>2974431223</v>
      </c>
      <c r="AJ330" s="240">
        <f>W330-AF330-AG330</f>
        <v>1745658000</v>
      </c>
      <c r="AK330" s="341">
        <v>1228773223</v>
      </c>
      <c r="AL330" s="244"/>
      <c r="AM330" s="236">
        <f>AB330-AD330-AE330-AK330-AL330</f>
        <v>0</v>
      </c>
      <c r="AN330" s="413" t="s">
        <v>1649</v>
      </c>
    </row>
    <row r="331" spans="1:41" s="321" customFormat="1" ht="28.5" customHeight="1">
      <c r="A331" s="216">
        <v>9</v>
      </c>
      <c r="B331" s="217" t="s">
        <v>33</v>
      </c>
      <c r="C331" s="218"/>
      <c r="D331" s="456"/>
      <c r="E331" s="219"/>
      <c r="F331" s="220"/>
      <c r="G331" s="220"/>
      <c r="H331" s="220"/>
      <c r="I331" s="227">
        <f>SUM(I332)</f>
        <v>11592</v>
      </c>
      <c r="J331" s="227">
        <f aca="true" t="shared" si="199" ref="J331:AO331">SUM(J332)</f>
        <v>0</v>
      </c>
      <c r="K331" s="227">
        <f t="shared" si="199"/>
        <v>11592</v>
      </c>
      <c r="L331" s="227">
        <f t="shared" si="199"/>
        <v>0</v>
      </c>
      <c r="M331" s="227">
        <f t="shared" si="199"/>
        <v>0</v>
      </c>
      <c r="N331" s="227">
        <f t="shared" si="199"/>
        <v>12247.369</v>
      </c>
      <c r="O331" s="227">
        <f t="shared" si="199"/>
        <v>0</v>
      </c>
      <c r="P331" s="227">
        <f t="shared" si="199"/>
        <v>12247.369</v>
      </c>
      <c r="Q331" s="227">
        <f t="shared" si="199"/>
        <v>11505.409</v>
      </c>
      <c r="R331" s="227"/>
      <c r="S331" s="227">
        <f t="shared" si="199"/>
        <v>741.96</v>
      </c>
      <c r="T331" s="227">
        <f t="shared" si="199"/>
        <v>0</v>
      </c>
      <c r="U331" s="227">
        <f t="shared" si="199"/>
        <v>0</v>
      </c>
      <c r="V331" s="227">
        <f t="shared" si="199"/>
        <v>0</v>
      </c>
      <c r="W331" s="227">
        <f t="shared" si="199"/>
        <v>0</v>
      </c>
      <c r="X331" s="227">
        <f t="shared" si="199"/>
        <v>0</v>
      </c>
      <c r="Y331" s="227">
        <f t="shared" si="199"/>
        <v>0</v>
      </c>
      <c r="Z331" s="227">
        <f t="shared" si="199"/>
        <v>0</v>
      </c>
      <c r="AA331" s="227">
        <f t="shared" si="199"/>
        <v>0</v>
      </c>
      <c r="AB331" s="227">
        <f t="shared" si="199"/>
        <v>0</v>
      </c>
      <c r="AC331" s="227">
        <f t="shared" si="199"/>
        <v>0</v>
      </c>
      <c r="AD331" s="227">
        <f t="shared" si="199"/>
        <v>0</v>
      </c>
      <c r="AE331" s="227">
        <f t="shared" si="199"/>
        <v>0</v>
      </c>
      <c r="AF331" s="227">
        <f t="shared" si="199"/>
        <v>0</v>
      </c>
      <c r="AG331" s="227">
        <f t="shared" si="199"/>
        <v>0</v>
      </c>
      <c r="AH331" s="227">
        <f t="shared" si="199"/>
        <v>0</v>
      </c>
      <c r="AI331" s="227">
        <f t="shared" si="199"/>
        <v>0</v>
      </c>
      <c r="AJ331" s="227">
        <f t="shared" si="199"/>
        <v>0</v>
      </c>
      <c r="AK331" s="227">
        <f t="shared" si="199"/>
        <v>0</v>
      </c>
      <c r="AL331" s="227">
        <f t="shared" si="199"/>
        <v>0</v>
      </c>
      <c r="AM331" s="227">
        <f t="shared" si="199"/>
        <v>0</v>
      </c>
      <c r="AN331" s="227">
        <f t="shared" si="199"/>
        <v>0</v>
      </c>
      <c r="AO331" s="227">
        <f t="shared" si="199"/>
        <v>0</v>
      </c>
    </row>
    <row r="332" spans="1:40" s="321" customFormat="1" ht="19.5" customHeight="1">
      <c r="A332" s="216"/>
      <c r="B332" s="217" t="s">
        <v>1254</v>
      </c>
      <c r="C332" s="218"/>
      <c r="D332" s="456"/>
      <c r="E332" s="219"/>
      <c r="F332" s="220"/>
      <c r="G332" s="220"/>
      <c r="H332" s="220"/>
      <c r="I332" s="282">
        <f>SUM(I333:I335)</f>
        <v>11592</v>
      </c>
      <c r="J332" s="282">
        <f aca="true" t="shared" si="200" ref="J332:U332">SUM(J333:J335)</f>
        <v>0</v>
      </c>
      <c r="K332" s="282">
        <f t="shared" si="200"/>
        <v>11592</v>
      </c>
      <c r="L332" s="282">
        <f t="shared" si="200"/>
        <v>0</v>
      </c>
      <c r="M332" s="282">
        <f t="shared" si="200"/>
        <v>0</v>
      </c>
      <c r="N332" s="282">
        <f t="shared" si="200"/>
        <v>12247.369</v>
      </c>
      <c r="O332" s="282">
        <f t="shared" si="200"/>
        <v>0</v>
      </c>
      <c r="P332" s="282">
        <f t="shared" si="200"/>
        <v>12247.369</v>
      </c>
      <c r="Q332" s="282">
        <f t="shared" si="200"/>
        <v>11505.409</v>
      </c>
      <c r="R332" s="282"/>
      <c r="S332" s="282">
        <f t="shared" si="200"/>
        <v>741.96</v>
      </c>
      <c r="T332" s="282">
        <f t="shared" si="200"/>
        <v>0</v>
      </c>
      <c r="U332" s="282">
        <f t="shared" si="200"/>
        <v>0</v>
      </c>
      <c r="V332" s="240"/>
      <c r="W332" s="240"/>
      <c r="X332" s="240"/>
      <c r="Y332" s="240"/>
      <c r="Z332" s="228"/>
      <c r="AA332" s="228"/>
      <c r="AB332" s="241">
        <f>Y332+Z332-AA332+X332</f>
        <v>0</v>
      </c>
      <c r="AC332" s="228"/>
      <c r="AD332" s="228"/>
      <c r="AE332" s="228"/>
      <c r="AF332" s="228"/>
      <c r="AG332" s="240"/>
      <c r="AH332" s="240"/>
      <c r="AI332" s="240"/>
      <c r="AJ332" s="240"/>
      <c r="AK332" s="228"/>
      <c r="AL332" s="244"/>
      <c r="AM332" s="220"/>
      <c r="AN332" s="224"/>
    </row>
    <row r="333" spans="1:40" s="414" customFormat="1" ht="19.5" customHeight="1">
      <c r="A333" s="230"/>
      <c r="B333" s="231" t="s">
        <v>34</v>
      </c>
      <c r="C333" s="232" t="s">
        <v>25</v>
      </c>
      <c r="D333" s="233" t="s">
        <v>1517</v>
      </c>
      <c r="E333" s="234" t="s">
        <v>35</v>
      </c>
      <c r="F333" s="235">
        <v>3989</v>
      </c>
      <c r="G333" s="236">
        <v>2620</v>
      </c>
      <c r="H333" s="236">
        <v>2620</v>
      </c>
      <c r="I333" s="237">
        <f>K333+M333</f>
        <v>1369</v>
      </c>
      <c r="J333" s="238"/>
      <c r="K333" s="237">
        <v>1369</v>
      </c>
      <c r="L333" s="237"/>
      <c r="M333" s="237"/>
      <c r="N333" s="239">
        <f>Q333+R333+S333</f>
        <v>1433.0620000000001</v>
      </c>
      <c r="O333" s="239"/>
      <c r="P333" s="239">
        <f>SUM(Q333:S333)</f>
        <v>1433.0620000000001</v>
      </c>
      <c r="Q333" s="239">
        <v>1354.814</v>
      </c>
      <c r="R333" s="239"/>
      <c r="S333" s="239">
        <v>78.248</v>
      </c>
      <c r="T333" s="307"/>
      <c r="U333" s="306"/>
      <c r="V333" s="240">
        <f>W333+X333</f>
        <v>78248000</v>
      </c>
      <c r="W333" s="240">
        <v>78248000</v>
      </c>
      <c r="X333" s="240"/>
      <c r="Y333" s="240">
        <v>1369000000</v>
      </c>
      <c r="Z333" s="302"/>
      <c r="AA333" s="302"/>
      <c r="AB333" s="241">
        <f>Y333+Z333-AA333+X333</f>
        <v>1369000000</v>
      </c>
      <c r="AC333" s="242">
        <f>AD333+AE333+AF333</f>
        <v>1433062000</v>
      </c>
      <c r="AD333" s="302">
        <v>1354814000</v>
      </c>
      <c r="AE333" s="302"/>
      <c r="AF333" s="308">
        <v>78248000</v>
      </c>
      <c r="AG333" s="240"/>
      <c r="AH333" s="240">
        <f>AI333+AL333</f>
        <v>0</v>
      </c>
      <c r="AI333" s="240">
        <f>SUM(AJ333:AK333)</f>
        <v>0</v>
      </c>
      <c r="AJ333" s="240">
        <f>W333-AF333-AG333</f>
        <v>0</v>
      </c>
      <c r="AK333" s="302"/>
      <c r="AL333" s="244"/>
      <c r="AM333" s="236">
        <f>AB333-AD333-AE333-AK333-AL333</f>
        <v>14186000</v>
      </c>
      <c r="AN333" s="413" t="s">
        <v>1649</v>
      </c>
    </row>
    <row r="334" spans="1:40" s="414" customFormat="1" ht="30.75" customHeight="1">
      <c r="A334" s="230"/>
      <c r="B334" s="231" t="s">
        <v>36</v>
      </c>
      <c r="C334" s="232" t="s">
        <v>37</v>
      </c>
      <c r="D334" s="233" t="s">
        <v>1517</v>
      </c>
      <c r="E334" s="234" t="s">
        <v>38</v>
      </c>
      <c r="F334" s="235">
        <v>14157</v>
      </c>
      <c r="G334" s="236">
        <v>9600</v>
      </c>
      <c r="H334" s="236">
        <v>9600</v>
      </c>
      <c r="I334" s="237">
        <f>K334+M334</f>
        <v>4557</v>
      </c>
      <c r="J334" s="238"/>
      <c r="K334" s="237">
        <v>4557</v>
      </c>
      <c r="L334" s="237"/>
      <c r="M334" s="237"/>
      <c r="N334" s="239">
        <f>Q334+R334+S334</f>
        <v>4579.6720000000005</v>
      </c>
      <c r="O334" s="239"/>
      <c r="P334" s="239">
        <f>SUM(Q334:S334)</f>
        <v>4579.6720000000005</v>
      </c>
      <c r="Q334" s="239">
        <v>4517.858</v>
      </c>
      <c r="R334" s="239"/>
      <c r="S334" s="239">
        <v>61.814</v>
      </c>
      <c r="T334" s="307"/>
      <c r="U334" s="306"/>
      <c r="V334" s="240">
        <f>W334+X334</f>
        <v>61813999.99999988</v>
      </c>
      <c r="W334" s="240">
        <v>61813999.99999988</v>
      </c>
      <c r="X334" s="240"/>
      <c r="Y334" s="240">
        <v>4557000000</v>
      </c>
      <c r="Z334" s="302"/>
      <c r="AA334" s="302"/>
      <c r="AB334" s="241">
        <f>Y334+Z334-AA334+X334</f>
        <v>4557000000</v>
      </c>
      <c r="AC334" s="242">
        <f>AD334+AE334+AF334</f>
        <v>4579672000</v>
      </c>
      <c r="AD334" s="302">
        <v>4517858000</v>
      </c>
      <c r="AE334" s="302"/>
      <c r="AF334" s="308">
        <v>61814000</v>
      </c>
      <c r="AG334" s="240"/>
      <c r="AH334" s="240">
        <f>AI334+AL334</f>
        <v>-1.1920928955078125E-07</v>
      </c>
      <c r="AI334" s="240">
        <f>SUM(AJ334:AK334)</f>
        <v>-1.1920928955078125E-07</v>
      </c>
      <c r="AJ334" s="240">
        <f>W334-AF334-AG334</f>
        <v>-1.1920928955078125E-07</v>
      </c>
      <c r="AK334" s="302"/>
      <c r="AL334" s="244"/>
      <c r="AM334" s="236">
        <f>AB334-AD334-AE334-AK334-AL334</f>
        <v>39142000</v>
      </c>
      <c r="AN334" s="413" t="s">
        <v>1649</v>
      </c>
    </row>
    <row r="335" spans="1:40" s="414" customFormat="1" ht="19.5" customHeight="1">
      <c r="A335" s="230"/>
      <c r="B335" s="231" t="s">
        <v>39</v>
      </c>
      <c r="C335" s="232" t="s">
        <v>25</v>
      </c>
      <c r="D335" s="233" t="s">
        <v>1517</v>
      </c>
      <c r="E335" s="234" t="s">
        <v>40</v>
      </c>
      <c r="F335" s="235">
        <v>13686</v>
      </c>
      <c r="G335" s="236">
        <v>8020</v>
      </c>
      <c r="H335" s="236">
        <v>8020</v>
      </c>
      <c r="I335" s="237">
        <f>K335+M335</f>
        <v>5666</v>
      </c>
      <c r="J335" s="238"/>
      <c r="K335" s="237">
        <v>5666</v>
      </c>
      <c r="L335" s="237"/>
      <c r="M335" s="237"/>
      <c r="N335" s="239">
        <f>Q335+R335+S335</f>
        <v>6234.635</v>
      </c>
      <c r="O335" s="239"/>
      <c r="P335" s="239">
        <f>SUM(Q335:S335)</f>
        <v>6234.635</v>
      </c>
      <c r="Q335" s="239">
        <v>5632.737</v>
      </c>
      <c r="R335" s="239"/>
      <c r="S335" s="239">
        <v>601.898</v>
      </c>
      <c r="T335" s="307"/>
      <c r="U335" s="306"/>
      <c r="V335" s="240">
        <f>W335+X335</f>
        <v>601898000</v>
      </c>
      <c r="W335" s="240">
        <v>601898000</v>
      </c>
      <c r="X335" s="240"/>
      <c r="Y335" s="240">
        <v>5666000000</v>
      </c>
      <c r="Z335" s="302"/>
      <c r="AA335" s="302"/>
      <c r="AB335" s="241">
        <f>Y335+Z335-AA335+X335</f>
        <v>5666000000</v>
      </c>
      <c r="AC335" s="242">
        <f>AD335+AE335+AF335</f>
        <v>6234635000</v>
      </c>
      <c r="AD335" s="302">
        <v>5632737000</v>
      </c>
      <c r="AE335" s="302"/>
      <c r="AF335" s="308">
        <v>601898000</v>
      </c>
      <c r="AG335" s="240"/>
      <c r="AH335" s="240">
        <f>AI335+AL335</f>
        <v>0</v>
      </c>
      <c r="AI335" s="240">
        <f>SUM(AJ335:AK335)</f>
        <v>0</v>
      </c>
      <c r="AJ335" s="240">
        <f>W335-AF335-AG335</f>
        <v>0</v>
      </c>
      <c r="AK335" s="302"/>
      <c r="AL335" s="244"/>
      <c r="AM335" s="236">
        <f>AB335-AD335-AE335-AK335-AL335</f>
        <v>33263000</v>
      </c>
      <c r="AN335" s="413" t="s">
        <v>1649</v>
      </c>
    </row>
    <row r="336" spans="1:40" s="321" customFormat="1" ht="19.5" customHeight="1">
      <c r="A336" s="216">
        <v>10</v>
      </c>
      <c r="B336" s="217" t="s">
        <v>41</v>
      </c>
      <c r="C336" s="218"/>
      <c r="D336" s="456"/>
      <c r="E336" s="219"/>
      <c r="F336" s="221"/>
      <c r="G336" s="221"/>
      <c r="H336" s="221"/>
      <c r="I336" s="223">
        <f>SUM(I337,I354)</f>
        <v>250000</v>
      </c>
      <c r="J336" s="223">
        <f aca="true" t="shared" si="201" ref="J336:U336">SUM(J337,J354)</f>
        <v>0</v>
      </c>
      <c r="K336" s="223">
        <f t="shared" si="201"/>
        <v>250000</v>
      </c>
      <c r="L336" s="223">
        <f t="shared" si="201"/>
        <v>0</v>
      </c>
      <c r="M336" s="223">
        <f t="shared" si="201"/>
        <v>0</v>
      </c>
      <c r="N336" s="222">
        <f t="shared" si="201"/>
        <v>157783.779682</v>
      </c>
      <c r="O336" s="222">
        <f t="shared" si="201"/>
        <v>0</v>
      </c>
      <c r="P336" s="222">
        <f t="shared" si="201"/>
        <v>157783.779682</v>
      </c>
      <c r="Q336" s="222">
        <f t="shared" si="201"/>
        <v>99671.609096</v>
      </c>
      <c r="R336" s="222">
        <f t="shared" si="201"/>
        <v>43132.124323000004</v>
      </c>
      <c r="S336" s="222">
        <f t="shared" si="201"/>
        <v>14331.746262999999</v>
      </c>
      <c r="T336" s="222">
        <f t="shared" si="201"/>
        <v>0</v>
      </c>
      <c r="U336" s="222">
        <f t="shared" si="201"/>
        <v>0</v>
      </c>
      <c r="V336" s="223">
        <f aca="true" t="shared" si="202" ref="V336:AM336">SUM(V337:V434)</f>
        <v>89434780432</v>
      </c>
      <c r="W336" s="223">
        <f t="shared" si="202"/>
        <v>28740832526</v>
      </c>
      <c r="X336" s="223">
        <f t="shared" si="202"/>
        <v>60693947906</v>
      </c>
      <c r="Y336" s="223">
        <f t="shared" si="202"/>
        <v>279784000000</v>
      </c>
      <c r="Z336" s="223">
        <f t="shared" si="202"/>
        <v>0</v>
      </c>
      <c r="AA336" s="223">
        <f t="shared" si="202"/>
        <v>0</v>
      </c>
      <c r="AB336" s="223">
        <f t="shared" si="202"/>
        <v>340477947906</v>
      </c>
      <c r="AC336" s="223">
        <f t="shared" si="202"/>
        <v>195950933501</v>
      </c>
      <c r="AD336" s="223">
        <f t="shared" si="202"/>
        <v>124155316652</v>
      </c>
      <c r="AE336" s="223">
        <f t="shared" si="202"/>
        <v>43132124323</v>
      </c>
      <c r="AF336" s="223">
        <f t="shared" si="202"/>
        <v>28663492526</v>
      </c>
      <c r="AG336" s="223">
        <f t="shared" si="202"/>
        <v>0</v>
      </c>
      <c r="AH336" s="223">
        <f t="shared" si="202"/>
        <v>26508644820</v>
      </c>
      <c r="AI336" s="223">
        <f t="shared" si="202"/>
        <v>26508644820</v>
      </c>
      <c r="AJ336" s="223">
        <f t="shared" si="202"/>
        <v>77340000</v>
      </c>
      <c r="AK336" s="223">
        <f t="shared" si="202"/>
        <v>26431304820</v>
      </c>
      <c r="AL336" s="223">
        <f t="shared" si="202"/>
        <v>0</v>
      </c>
      <c r="AM336" s="221">
        <f t="shared" si="202"/>
        <v>146759202111</v>
      </c>
      <c r="AN336" s="224"/>
    </row>
    <row r="337" spans="1:41" s="321" customFormat="1" ht="19.5" customHeight="1">
      <c r="A337" s="216"/>
      <c r="B337" s="217" t="s">
        <v>1254</v>
      </c>
      <c r="C337" s="218"/>
      <c r="D337" s="456"/>
      <c r="E337" s="219"/>
      <c r="F337" s="221"/>
      <c r="G337" s="221"/>
      <c r="H337" s="221"/>
      <c r="I337" s="292">
        <f>SUM(I338:I353)</f>
        <v>29784</v>
      </c>
      <c r="J337" s="292">
        <f aca="true" t="shared" si="203" ref="J337:AO337">SUM(J338:J353)</f>
        <v>0</v>
      </c>
      <c r="K337" s="292">
        <f t="shared" si="203"/>
        <v>29784</v>
      </c>
      <c r="L337" s="292">
        <f t="shared" si="203"/>
        <v>0</v>
      </c>
      <c r="M337" s="292">
        <f t="shared" si="203"/>
        <v>0</v>
      </c>
      <c r="N337" s="282">
        <f t="shared" si="203"/>
        <v>38815.453819</v>
      </c>
      <c r="O337" s="282">
        <f t="shared" si="203"/>
        <v>0</v>
      </c>
      <c r="P337" s="282">
        <f t="shared" si="203"/>
        <v>38815.453819</v>
      </c>
      <c r="Q337" s="282">
        <f t="shared" si="203"/>
        <v>24483.707556</v>
      </c>
      <c r="R337" s="282">
        <f t="shared" si="203"/>
        <v>0</v>
      </c>
      <c r="S337" s="282">
        <f t="shared" si="203"/>
        <v>14331.746262999999</v>
      </c>
      <c r="T337" s="282">
        <f t="shared" si="203"/>
        <v>0</v>
      </c>
      <c r="U337" s="282">
        <f t="shared" si="203"/>
        <v>0</v>
      </c>
      <c r="V337" s="282">
        <f t="shared" si="203"/>
        <v>14370416263</v>
      </c>
      <c r="W337" s="282">
        <f t="shared" si="203"/>
        <v>14370416263</v>
      </c>
      <c r="X337" s="282">
        <f t="shared" si="203"/>
        <v>0</v>
      </c>
      <c r="Y337" s="282">
        <f t="shared" si="203"/>
        <v>29784000000</v>
      </c>
      <c r="Z337" s="282">
        <f t="shared" si="203"/>
        <v>0</v>
      </c>
      <c r="AA337" s="282">
        <f t="shared" si="203"/>
        <v>0</v>
      </c>
      <c r="AB337" s="282">
        <f t="shared" si="203"/>
        <v>29784000000</v>
      </c>
      <c r="AC337" s="282">
        <f t="shared" si="203"/>
        <v>38815453819</v>
      </c>
      <c r="AD337" s="282">
        <f t="shared" si="203"/>
        <v>24483707556</v>
      </c>
      <c r="AE337" s="282">
        <f t="shared" si="203"/>
        <v>0</v>
      </c>
      <c r="AF337" s="282">
        <f t="shared" si="203"/>
        <v>14331746263</v>
      </c>
      <c r="AG337" s="282">
        <f t="shared" si="203"/>
        <v>0</v>
      </c>
      <c r="AH337" s="282">
        <f t="shared" si="203"/>
        <v>38670000</v>
      </c>
      <c r="AI337" s="282">
        <f t="shared" si="203"/>
        <v>38670000</v>
      </c>
      <c r="AJ337" s="282">
        <f t="shared" si="203"/>
        <v>38670000</v>
      </c>
      <c r="AK337" s="282">
        <f t="shared" si="203"/>
        <v>0</v>
      </c>
      <c r="AL337" s="282">
        <f t="shared" si="203"/>
        <v>0</v>
      </c>
      <c r="AM337" s="282">
        <f t="shared" si="203"/>
        <v>5300292444</v>
      </c>
      <c r="AN337" s="282">
        <f t="shared" si="203"/>
        <v>0</v>
      </c>
      <c r="AO337" s="282">
        <f t="shared" si="203"/>
        <v>0</v>
      </c>
    </row>
    <row r="338" spans="1:40" s="481" customFormat="1" ht="19.5" customHeight="1">
      <c r="A338" s="263"/>
      <c r="B338" s="396" t="s">
        <v>42</v>
      </c>
      <c r="C338" s="304"/>
      <c r="D338" s="490"/>
      <c r="E338" s="305"/>
      <c r="F338" s="244"/>
      <c r="G338" s="244"/>
      <c r="H338" s="244"/>
      <c r="I338" s="237"/>
      <c r="J338" s="237"/>
      <c r="K338" s="237"/>
      <c r="L338" s="237"/>
      <c r="M338" s="237"/>
      <c r="N338" s="239">
        <f aca="true" t="shared" si="204" ref="N338:N399">Q338+R338+S338</f>
        <v>281.879</v>
      </c>
      <c r="O338" s="239"/>
      <c r="P338" s="239">
        <f>SUM(Q338:T338)</f>
        <v>281.879</v>
      </c>
      <c r="Q338" s="239">
        <v>0</v>
      </c>
      <c r="R338" s="239">
        <v>0</v>
      </c>
      <c r="S338" s="239">
        <v>281.879</v>
      </c>
      <c r="T338" s="237"/>
      <c r="U338" s="244"/>
      <c r="V338" s="240">
        <f aca="true" t="shared" si="205" ref="V338:V401">W338+X338</f>
        <v>281879000</v>
      </c>
      <c r="W338" s="240">
        <v>281879000</v>
      </c>
      <c r="X338" s="240"/>
      <c r="Y338" s="240"/>
      <c r="Z338" s="240"/>
      <c r="AA338" s="240"/>
      <c r="AB338" s="241">
        <f aca="true" t="shared" si="206" ref="AB338:AB401">Y338+Z338-AA338+X338</f>
        <v>0</v>
      </c>
      <c r="AC338" s="242">
        <f aca="true" t="shared" si="207" ref="AC338:AC401">AD338+AE338+AF338</f>
        <v>281879000</v>
      </c>
      <c r="AD338" s="240"/>
      <c r="AE338" s="240"/>
      <c r="AF338" s="240">
        <v>281879000</v>
      </c>
      <c r="AG338" s="240"/>
      <c r="AH338" s="240">
        <f aca="true" t="shared" si="208" ref="AH338:AH401">AI338+AL338</f>
        <v>0</v>
      </c>
      <c r="AI338" s="240">
        <f aca="true" t="shared" si="209" ref="AI338:AI401">SUM(AJ338:AK338)</f>
        <v>0</v>
      </c>
      <c r="AJ338" s="240">
        <f aca="true" t="shared" si="210" ref="AJ338:AJ401">W338-AF338-AG338</f>
        <v>0</v>
      </c>
      <c r="AK338" s="240"/>
      <c r="AL338" s="244"/>
      <c r="AM338" s="236">
        <f aca="true" t="shared" si="211" ref="AM338:AM401">AB338-AD338-AE338-AK338-AL338</f>
        <v>0</v>
      </c>
      <c r="AN338" s="472"/>
    </row>
    <row r="339" spans="1:40" s="481" customFormat="1" ht="19.5" customHeight="1">
      <c r="A339" s="263"/>
      <c r="B339" s="396" t="s">
        <v>43</v>
      </c>
      <c r="C339" s="304"/>
      <c r="D339" s="490"/>
      <c r="E339" s="305"/>
      <c r="F339" s="244"/>
      <c r="G339" s="244"/>
      <c r="H339" s="244"/>
      <c r="I339" s="237"/>
      <c r="J339" s="237"/>
      <c r="K339" s="237"/>
      <c r="L339" s="237"/>
      <c r="M339" s="237"/>
      <c r="N339" s="239">
        <f t="shared" si="204"/>
        <v>3619.059963</v>
      </c>
      <c r="O339" s="239"/>
      <c r="P339" s="239">
        <f aca="true" t="shared" si="212" ref="P339:P399">SUM(Q339:T339)</f>
        <v>3619.059963</v>
      </c>
      <c r="Q339" s="239">
        <v>0</v>
      </c>
      <c r="R339" s="239">
        <v>0</v>
      </c>
      <c r="S339" s="239">
        <v>3619.059963</v>
      </c>
      <c r="T339" s="237"/>
      <c r="U339" s="244"/>
      <c r="V339" s="240">
        <f t="shared" si="205"/>
        <v>3619059963</v>
      </c>
      <c r="W339" s="240">
        <v>3619059963</v>
      </c>
      <c r="X339" s="240"/>
      <c r="Y339" s="240"/>
      <c r="Z339" s="240"/>
      <c r="AA339" s="240"/>
      <c r="AB339" s="241">
        <f t="shared" si="206"/>
        <v>0</v>
      </c>
      <c r="AC339" s="242">
        <f t="shared" si="207"/>
        <v>3619059963</v>
      </c>
      <c r="AD339" s="240"/>
      <c r="AE339" s="240"/>
      <c r="AF339" s="240">
        <v>3619059963</v>
      </c>
      <c r="AG339" s="240"/>
      <c r="AH339" s="240">
        <f t="shared" si="208"/>
        <v>0</v>
      </c>
      <c r="AI339" s="240">
        <f t="shared" si="209"/>
        <v>0</v>
      </c>
      <c r="AJ339" s="240">
        <f t="shared" si="210"/>
        <v>0</v>
      </c>
      <c r="AK339" s="240"/>
      <c r="AL339" s="244"/>
      <c r="AM339" s="236">
        <f t="shared" si="211"/>
        <v>0</v>
      </c>
      <c r="AN339" s="472"/>
    </row>
    <row r="340" spans="1:40" s="481" customFormat="1" ht="19.5" customHeight="1">
      <c r="A340" s="263"/>
      <c r="B340" s="396" t="s">
        <v>44</v>
      </c>
      <c r="C340" s="304"/>
      <c r="D340" s="490"/>
      <c r="E340" s="305"/>
      <c r="F340" s="244"/>
      <c r="G340" s="244"/>
      <c r="H340" s="244"/>
      <c r="I340" s="237"/>
      <c r="J340" s="237"/>
      <c r="K340" s="237"/>
      <c r="L340" s="237"/>
      <c r="M340" s="237"/>
      <c r="N340" s="239">
        <f t="shared" si="204"/>
        <v>6130.522</v>
      </c>
      <c r="O340" s="239"/>
      <c r="P340" s="239">
        <f t="shared" si="212"/>
        <v>6130.522</v>
      </c>
      <c r="Q340" s="239">
        <v>0</v>
      </c>
      <c r="R340" s="239">
        <v>0</v>
      </c>
      <c r="S340" s="239">
        <v>6130.522</v>
      </c>
      <c r="T340" s="237"/>
      <c r="U340" s="244"/>
      <c r="V340" s="240">
        <f t="shared" si="205"/>
        <v>6130522000</v>
      </c>
      <c r="W340" s="240">
        <v>6130522000</v>
      </c>
      <c r="X340" s="240"/>
      <c r="Y340" s="240"/>
      <c r="Z340" s="240"/>
      <c r="AA340" s="240"/>
      <c r="AB340" s="241">
        <f t="shared" si="206"/>
        <v>0</v>
      </c>
      <c r="AC340" s="242">
        <f t="shared" si="207"/>
        <v>6130522000</v>
      </c>
      <c r="AD340" s="240"/>
      <c r="AE340" s="240"/>
      <c r="AF340" s="240">
        <v>6130522000</v>
      </c>
      <c r="AG340" s="240"/>
      <c r="AH340" s="240">
        <f t="shared" si="208"/>
        <v>0</v>
      </c>
      <c r="AI340" s="240">
        <f t="shared" si="209"/>
        <v>0</v>
      </c>
      <c r="AJ340" s="240">
        <f t="shared" si="210"/>
        <v>0</v>
      </c>
      <c r="AK340" s="240"/>
      <c r="AL340" s="244"/>
      <c r="AM340" s="236">
        <f t="shared" si="211"/>
        <v>0</v>
      </c>
      <c r="AN340" s="472"/>
    </row>
    <row r="341" spans="1:40" s="481" customFormat="1" ht="19.5" customHeight="1">
      <c r="A341" s="263"/>
      <c r="B341" s="396" t="s">
        <v>45</v>
      </c>
      <c r="C341" s="304"/>
      <c r="D341" s="490"/>
      <c r="E341" s="305"/>
      <c r="F341" s="244"/>
      <c r="G341" s="244"/>
      <c r="H341" s="244"/>
      <c r="I341" s="237"/>
      <c r="J341" s="237"/>
      <c r="K341" s="237"/>
      <c r="L341" s="237"/>
      <c r="M341" s="237"/>
      <c r="N341" s="239">
        <f t="shared" si="204"/>
        <v>692.785</v>
      </c>
      <c r="O341" s="239"/>
      <c r="P341" s="239">
        <f t="shared" si="212"/>
        <v>692.785</v>
      </c>
      <c r="Q341" s="239">
        <v>0</v>
      </c>
      <c r="R341" s="239">
        <v>0</v>
      </c>
      <c r="S341" s="239">
        <v>692.785</v>
      </c>
      <c r="T341" s="237"/>
      <c r="U341" s="244"/>
      <c r="V341" s="240">
        <f t="shared" si="205"/>
        <v>731455000</v>
      </c>
      <c r="W341" s="240">
        <v>731455000</v>
      </c>
      <c r="X341" s="240"/>
      <c r="Y341" s="240"/>
      <c r="Z341" s="240"/>
      <c r="AA341" s="240"/>
      <c r="AB341" s="241">
        <f t="shared" si="206"/>
        <v>0</v>
      </c>
      <c r="AC341" s="242">
        <f t="shared" si="207"/>
        <v>692785000</v>
      </c>
      <c r="AD341" s="240"/>
      <c r="AE341" s="240"/>
      <c r="AF341" s="240">
        <v>692785000</v>
      </c>
      <c r="AG341" s="240"/>
      <c r="AH341" s="240">
        <f t="shared" si="208"/>
        <v>38670000</v>
      </c>
      <c r="AI341" s="240">
        <f t="shared" si="209"/>
        <v>38670000</v>
      </c>
      <c r="AJ341" s="240">
        <f t="shared" si="210"/>
        <v>38670000</v>
      </c>
      <c r="AK341" s="240"/>
      <c r="AL341" s="244"/>
      <c r="AM341" s="236">
        <f t="shared" si="211"/>
        <v>0</v>
      </c>
      <c r="AN341" s="472"/>
    </row>
    <row r="342" spans="1:40" s="481" customFormat="1" ht="19.5" customHeight="1">
      <c r="A342" s="263"/>
      <c r="B342" s="396" t="s">
        <v>46</v>
      </c>
      <c r="C342" s="304"/>
      <c r="D342" s="490"/>
      <c r="E342" s="305"/>
      <c r="F342" s="244"/>
      <c r="G342" s="244"/>
      <c r="H342" s="244"/>
      <c r="I342" s="237"/>
      <c r="J342" s="237"/>
      <c r="K342" s="237"/>
      <c r="L342" s="237"/>
      <c r="M342" s="237"/>
      <c r="N342" s="239">
        <f t="shared" si="204"/>
        <v>23.151</v>
      </c>
      <c r="O342" s="239"/>
      <c r="P342" s="239">
        <f t="shared" si="212"/>
        <v>23.151</v>
      </c>
      <c r="Q342" s="239">
        <v>0</v>
      </c>
      <c r="R342" s="239">
        <v>0</v>
      </c>
      <c r="S342" s="239">
        <v>23.151</v>
      </c>
      <c r="T342" s="237"/>
      <c r="U342" s="244"/>
      <c r="V342" s="240">
        <f t="shared" si="205"/>
        <v>23151000</v>
      </c>
      <c r="W342" s="240">
        <v>23151000</v>
      </c>
      <c r="X342" s="240"/>
      <c r="Y342" s="240"/>
      <c r="Z342" s="240"/>
      <c r="AA342" s="240"/>
      <c r="AB342" s="241">
        <f t="shared" si="206"/>
        <v>0</v>
      </c>
      <c r="AC342" s="242">
        <f t="shared" si="207"/>
        <v>23151000</v>
      </c>
      <c r="AD342" s="240"/>
      <c r="AE342" s="240"/>
      <c r="AF342" s="240">
        <v>23151000</v>
      </c>
      <c r="AG342" s="240"/>
      <c r="AH342" s="240">
        <f t="shared" si="208"/>
        <v>0</v>
      </c>
      <c r="AI342" s="240">
        <f t="shared" si="209"/>
        <v>0</v>
      </c>
      <c r="AJ342" s="240">
        <f t="shared" si="210"/>
        <v>0</v>
      </c>
      <c r="AK342" s="240"/>
      <c r="AL342" s="244"/>
      <c r="AM342" s="236">
        <f t="shared" si="211"/>
        <v>0</v>
      </c>
      <c r="AN342" s="472"/>
    </row>
    <row r="343" spans="1:40" s="481" customFormat="1" ht="19.5" customHeight="1">
      <c r="A343" s="263"/>
      <c r="B343" s="396" t="s">
        <v>47</v>
      </c>
      <c r="C343" s="304"/>
      <c r="D343" s="490"/>
      <c r="E343" s="305"/>
      <c r="F343" s="244"/>
      <c r="G343" s="244"/>
      <c r="H343" s="244"/>
      <c r="I343" s="237"/>
      <c r="J343" s="237"/>
      <c r="K343" s="237"/>
      <c r="L343" s="237"/>
      <c r="M343" s="237"/>
      <c r="N343" s="239">
        <f t="shared" si="204"/>
        <v>28.2362</v>
      </c>
      <c r="O343" s="239"/>
      <c r="P343" s="239">
        <f t="shared" si="212"/>
        <v>28.2362</v>
      </c>
      <c r="Q343" s="239">
        <v>0</v>
      </c>
      <c r="R343" s="239">
        <v>0</v>
      </c>
      <c r="S343" s="239">
        <v>28.2362</v>
      </c>
      <c r="T343" s="237"/>
      <c r="U343" s="244"/>
      <c r="V343" s="240">
        <f t="shared" si="205"/>
        <v>28236200</v>
      </c>
      <c r="W343" s="240">
        <v>28236200</v>
      </c>
      <c r="X343" s="240"/>
      <c r="Y343" s="240"/>
      <c r="Z343" s="240"/>
      <c r="AA343" s="240"/>
      <c r="AB343" s="241">
        <f t="shared" si="206"/>
        <v>0</v>
      </c>
      <c r="AC343" s="242">
        <f t="shared" si="207"/>
        <v>28236200</v>
      </c>
      <c r="AD343" s="240"/>
      <c r="AE343" s="240"/>
      <c r="AF343" s="240">
        <v>28236200</v>
      </c>
      <c r="AG343" s="240"/>
      <c r="AH343" s="240">
        <f t="shared" si="208"/>
        <v>0</v>
      </c>
      <c r="AI343" s="240">
        <f t="shared" si="209"/>
        <v>0</v>
      </c>
      <c r="AJ343" s="240">
        <f t="shared" si="210"/>
        <v>0</v>
      </c>
      <c r="AK343" s="240"/>
      <c r="AL343" s="244"/>
      <c r="AM343" s="236">
        <f t="shared" si="211"/>
        <v>0</v>
      </c>
      <c r="AN343" s="472"/>
    </row>
    <row r="344" spans="1:40" s="481" customFormat="1" ht="19.5" customHeight="1">
      <c r="A344" s="263"/>
      <c r="B344" s="396" t="s">
        <v>48</v>
      </c>
      <c r="C344" s="304"/>
      <c r="D344" s="490"/>
      <c r="E344" s="305"/>
      <c r="F344" s="244"/>
      <c r="G344" s="244"/>
      <c r="H344" s="244"/>
      <c r="I344" s="237"/>
      <c r="J344" s="237"/>
      <c r="K344" s="237"/>
      <c r="L344" s="237"/>
      <c r="M344" s="237"/>
      <c r="N344" s="239">
        <f t="shared" si="204"/>
        <v>897.9571</v>
      </c>
      <c r="O344" s="239"/>
      <c r="P344" s="239">
        <f t="shared" si="212"/>
        <v>897.9571</v>
      </c>
      <c r="Q344" s="239">
        <v>0</v>
      </c>
      <c r="R344" s="239">
        <v>0</v>
      </c>
      <c r="S344" s="239">
        <v>897.9571</v>
      </c>
      <c r="T344" s="237"/>
      <c r="U344" s="244"/>
      <c r="V344" s="240">
        <f t="shared" si="205"/>
        <v>897957100</v>
      </c>
      <c r="W344" s="240">
        <v>897957100</v>
      </c>
      <c r="X344" s="240"/>
      <c r="Y344" s="240"/>
      <c r="Z344" s="240"/>
      <c r="AA344" s="240"/>
      <c r="AB344" s="241">
        <f t="shared" si="206"/>
        <v>0</v>
      </c>
      <c r="AC344" s="242">
        <f t="shared" si="207"/>
        <v>897957100</v>
      </c>
      <c r="AD344" s="240"/>
      <c r="AE344" s="240"/>
      <c r="AF344" s="240">
        <v>897957100</v>
      </c>
      <c r="AG344" s="240"/>
      <c r="AH344" s="240">
        <f t="shared" si="208"/>
        <v>0</v>
      </c>
      <c r="AI344" s="240">
        <f t="shared" si="209"/>
        <v>0</v>
      </c>
      <c r="AJ344" s="240">
        <f t="shared" si="210"/>
        <v>0</v>
      </c>
      <c r="AK344" s="240"/>
      <c r="AL344" s="244"/>
      <c r="AM344" s="236">
        <f t="shared" si="211"/>
        <v>0</v>
      </c>
      <c r="AN344" s="472"/>
    </row>
    <row r="345" spans="1:40" s="481" customFormat="1" ht="19.5" customHeight="1">
      <c r="A345" s="263"/>
      <c r="B345" s="396" t="s">
        <v>49</v>
      </c>
      <c r="C345" s="304"/>
      <c r="D345" s="490"/>
      <c r="E345" s="305"/>
      <c r="F345" s="244"/>
      <c r="G345" s="244"/>
      <c r="H345" s="244"/>
      <c r="I345" s="237"/>
      <c r="J345" s="237"/>
      <c r="K345" s="237"/>
      <c r="L345" s="237"/>
      <c r="M345" s="237"/>
      <c r="N345" s="239">
        <f t="shared" si="204"/>
        <v>2179</v>
      </c>
      <c r="O345" s="239"/>
      <c r="P345" s="239">
        <f t="shared" si="212"/>
        <v>2179</v>
      </c>
      <c r="Q345" s="239">
        <v>0</v>
      </c>
      <c r="R345" s="239">
        <v>0</v>
      </c>
      <c r="S345" s="239">
        <v>2179</v>
      </c>
      <c r="T345" s="237"/>
      <c r="U345" s="244"/>
      <c r="V345" s="240">
        <f t="shared" si="205"/>
        <v>2179000000</v>
      </c>
      <c r="W345" s="240">
        <v>2179000000</v>
      </c>
      <c r="X345" s="240"/>
      <c r="Y345" s="240"/>
      <c r="Z345" s="240"/>
      <c r="AA345" s="240"/>
      <c r="AB345" s="241">
        <f t="shared" si="206"/>
        <v>0</v>
      </c>
      <c r="AC345" s="242">
        <f t="shared" si="207"/>
        <v>2179000000</v>
      </c>
      <c r="AD345" s="240"/>
      <c r="AE345" s="240"/>
      <c r="AF345" s="240">
        <v>2179000000</v>
      </c>
      <c r="AG345" s="240"/>
      <c r="AH345" s="240">
        <f t="shared" si="208"/>
        <v>0</v>
      </c>
      <c r="AI345" s="240">
        <f t="shared" si="209"/>
        <v>0</v>
      </c>
      <c r="AJ345" s="240">
        <f t="shared" si="210"/>
        <v>0</v>
      </c>
      <c r="AK345" s="240"/>
      <c r="AL345" s="244"/>
      <c r="AM345" s="236">
        <f t="shared" si="211"/>
        <v>0</v>
      </c>
      <c r="AN345" s="472"/>
    </row>
    <row r="346" spans="1:40" s="481" customFormat="1" ht="19.5" customHeight="1">
      <c r="A346" s="263"/>
      <c r="B346" s="396" t="s">
        <v>50</v>
      </c>
      <c r="C346" s="304"/>
      <c r="D346" s="490"/>
      <c r="E346" s="305"/>
      <c r="F346" s="244"/>
      <c r="G346" s="244"/>
      <c r="H346" s="244"/>
      <c r="I346" s="237"/>
      <c r="J346" s="237"/>
      <c r="K346" s="237"/>
      <c r="L346" s="237"/>
      <c r="M346" s="237"/>
      <c r="N346" s="239">
        <f t="shared" si="204"/>
        <v>133.156</v>
      </c>
      <c r="O346" s="239"/>
      <c r="P346" s="239">
        <f t="shared" si="212"/>
        <v>133.156</v>
      </c>
      <c r="Q346" s="239">
        <v>0</v>
      </c>
      <c r="R346" s="239">
        <v>0</v>
      </c>
      <c r="S346" s="239">
        <v>133.156</v>
      </c>
      <c r="T346" s="237"/>
      <c r="U346" s="244"/>
      <c r="V346" s="240">
        <f t="shared" si="205"/>
        <v>133156000</v>
      </c>
      <c r="W346" s="240">
        <v>133156000</v>
      </c>
      <c r="X346" s="240"/>
      <c r="Y346" s="240"/>
      <c r="Z346" s="240"/>
      <c r="AA346" s="240"/>
      <c r="AB346" s="241">
        <f t="shared" si="206"/>
        <v>0</v>
      </c>
      <c r="AC346" s="242">
        <f t="shared" si="207"/>
        <v>133156000</v>
      </c>
      <c r="AD346" s="240"/>
      <c r="AE346" s="240"/>
      <c r="AF346" s="240">
        <v>133156000</v>
      </c>
      <c r="AG346" s="240"/>
      <c r="AH346" s="240">
        <f t="shared" si="208"/>
        <v>0</v>
      </c>
      <c r="AI346" s="240">
        <f t="shared" si="209"/>
        <v>0</v>
      </c>
      <c r="AJ346" s="240">
        <f t="shared" si="210"/>
        <v>0</v>
      </c>
      <c r="AK346" s="240"/>
      <c r="AL346" s="244"/>
      <c r="AM346" s="236">
        <f t="shared" si="211"/>
        <v>0</v>
      </c>
      <c r="AN346" s="472"/>
    </row>
    <row r="347" spans="1:40" s="481" customFormat="1" ht="19.5" customHeight="1">
      <c r="A347" s="263"/>
      <c r="B347" s="396" t="s">
        <v>51</v>
      </c>
      <c r="C347" s="304"/>
      <c r="D347" s="490"/>
      <c r="E347" s="305"/>
      <c r="F347" s="244"/>
      <c r="G347" s="244"/>
      <c r="H347" s="244"/>
      <c r="I347" s="237"/>
      <c r="J347" s="237"/>
      <c r="K347" s="237"/>
      <c r="L347" s="237"/>
      <c r="M347" s="237"/>
      <c r="N347" s="239">
        <f t="shared" si="204"/>
        <v>346</v>
      </c>
      <c r="O347" s="239"/>
      <c r="P347" s="239">
        <f t="shared" si="212"/>
        <v>346</v>
      </c>
      <c r="Q347" s="239">
        <v>0</v>
      </c>
      <c r="R347" s="239">
        <v>0</v>
      </c>
      <c r="S347" s="239">
        <v>346</v>
      </c>
      <c r="T347" s="237"/>
      <c r="U347" s="244"/>
      <c r="V347" s="240">
        <f t="shared" si="205"/>
        <v>346000000</v>
      </c>
      <c r="W347" s="240">
        <v>346000000</v>
      </c>
      <c r="X347" s="240"/>
      <c r="Y347" s="240"/>
      <c r="Z347" s="240"/>
      <c r="AA347" s="240"/>
      <c r="AB347" s="241">
        <f t="shared" si="206"/>
        <v>0</v>
      </c>
      <c r="AC347" s="242">
        <f t="shared" si="207"/>
        <v>346000000</v>
      </c>
      <c r="AD347" s="240"/>
      <c r="AE347" s="240"/>
      <c r="AF347" s="240">
        <v>346000000</v>
      </c>
      <c r="AG347" s="240"/>
      <c r="AH347" s="240">
        <f t="shared" si="208"/>
        <v>0</v>
      </c>
      <c r="AI347" s="240">
        <f t="shared" si="209"/>
        <v>0</v>
      </c>
      <c r="AJ347" s="240">
        <f t="shared" si="210"/>
        <v>0</v>
      </c>
      <c r="AK347" s="240"/>
      <c r="AL347" s="244"/>
      <c r="AM347" s="236">
        <f t="shared" si="211"/>
        <v>0</v>
      </c>
      <c r="AN347" s="472"/>
    </row>
    <row r="348" spans="1:40" s="414" customFormat="1" ht="19.5" customHeight="1">
      <c r="A348" s="230"/>
      <c r="B348" s="231" t="s">
        <v>43</v>
      </c>
      <c r="C348" s="232" t="s">
        <v>1260</v>
      </c>
      <c r="D348" s="233" t="s">
        <v>1356</v>
      </c>
      <c r="E348" s="234" t="s">
        <v>52</v>
      </c>
      <c r="F348" s="235">
        <v>114000</v>
      </c>
      <c r="G348" s="236">
        <v>108800</v>
      </c>
      <c r="H348" s="236">
        <v>108800</v>
      </c>
      <c r="I348" s="240">
        <f aca="true" t="shared" si="213" ref="I348:I411">K348+M348</f>
        <v>5200</v>
      </c>
      <c r="J348" s="241"/>
      <c r="K348" s="240">
        <v>5200</v>
      </c>
      <c r="L348" s="240"/>
      <c r="M348" s="240"/>
      <c r="N348" s="239">
        <f t="shared" si="204"/>
        <v>5200</v>
      </c>
      <c r="O348" s="239"/>
      <c r="P348" s="239">
        <f t="shared" si="212"/>
        <v>5200</v>
      </c>
      <c r="Q348" s="239">
        <v>5200</v>
      </c>
      <c r="R348" s="239">
        <v>0</v>
      </c>
      <c r="S348" s="239">
        <v>0</v>
      </c>
      <c r="T348" s="301"/>
      <c r="U348" s="235"/>
      <c r="V348" s="240">
        <f t="shared" si="205"/>
        <v>0</v>
      </c>
      <c r="W348" s="240"/>
      <c r="X348" s="240"/>
      <c r="Y348" s="240">
        <v>5200000000</v>
      </c>
      <c r="Z348" s="241"/>
      <c r="AA348" s="241"/>
      <c r="AB348" s="241">
        <f t="shared" si="206"/>
        <v>5200000000</v>
      </c>
      <c r="AC348" s="242">
        <f t="shared" si="207"/>
        <v>5200000000</v>
      </c>
      <c r="AD348" s="465">
        <v>5200000000</v>
      </c>
      <c r="AE348" s="302"/>
      <c r="AF348" s="302"/>
      <c r="AG348" s="240"/>
      <c r="AH348" s="240">
        <f t="shared" si="208"/>
        <v>0</v>
      </c>
      <c r="AI348" s="240">
        <f t="shared" si="209"/>
        <v>0</v>
      </c>
      <c r="AJ348" s="240">
        <f t="shared" si="210"/>
        <v>0</v>
      </c>
      <c r="AK348" s="302"/>
      <c r="AL348" s="244"/>
      <c r="AM348" s="236">
        <f t="shared" si="211"/>
        <v>0</v>
      </c>
      <c r="AN348" s="413" t="s">
        <v>1649</v>
      </c>
    </row>
    <row r="349" spans="1:40" s="414" customFormat="1" ht="19.5" customHeight="1">
      <c r="A349" s="230"/>
      <c r="B349" s="231" t="s">
        <v>53</v>
      </c>
      <c r="C349" s="232" t="s">
        <v>1260</v>
      </c>
      <c r="D349" s="233" t="s">
        <v>1362</v>
      </c>
      <c r="E349" s="234" t="s">
        <v>54</v>
      </c>
      <c r="F349" s="235">
        <v>50000</v>
      </c>
      <c r="G349" s="236">
        <v>34185</v>
      </c>
      <c r="H349" s="236">
        <v>34185</v>
      </c>
      <c r="I349" s="240">
        <f t="shared" si="213"/>
        <v>15815</v>
      </c>
      <c r="J349" s="241"/>
      <c r="K349" s="240">
        <v>15815</v>
      </c>
      <c r="L349" s="240"/>
      <c r="M349" s="240"/>
      <c r="N349" s="239">
        <f t="shared" si="204"/>
        <v>14430.023731</v>
      </c>
      <c r="O349" s="239"/>
      <c r="P349" s="239">
        <f t="shared" si="212"/>
        <v>14430.023731</v>
      </c>
      <c r="Q349" s="239">
        <v>14430.023731</v>
      </c>
      <c r="R349" s="239">
        <v>0</v>
      </c>
      <c r="S349" s="239">
        <v>0</v>
      </c>
      <c r="T349" s="301"/>
      <c r="U349" s="235"/>
      <c r="V349" s="240">
        <f t="shared" si="205"/>
        <v>0</v>
      </c>
      <c r="W349" s="240"/>
      <c r="X349" s="240"/>
      <c r="Y349" s="240">
        <v>15815000000</v>
      </c>
      <c r="Z349" s="241"/>
      <c r="AA349" s="241"/>
      <c r="AB349" s="241">
        <f t="shared" si="206"/>
        <v>15815000000</v>
      </c>
      <c r="AC349" s="242">
        <f t="shared" si="207"/>
        <v>14430023731</v>
      </c>
      <c r="AD349" s="465">
        <v>14430023731</v>
      </c>
      <c r="AE349" s="302"/>
      <c r="AF349" s="302"/>
      <c r="AG349" s="240"/>
      <c r="AH349" s="240">
        <f t="shared" si="208"/>
        <v>0</v>
      </c>
      <c r="AI349" s="240">
        <f t="shared" si="209"/>
        <v>0</v>
      </c>
      <c r="AJ349" s="240">
        <f t="shared" si="210"/>
        <v>0</v>
      </c>
      <c r="AK349" s="302"/>
      <c r="AL349" s="244"/>
      <c r="AM349" s="236">
        <f t="shared" si="211"/>
        <v>1384976269</v>
      </c>
      <c r="AN349" s="413" t="s">
        <v>1649</v>
      </c>
    </row>
    <row r="350" spans="1:40" s="414" customFormat="1" ht="19.5" customHeight="1">
      <c r="A350" s="230"/>
      <c r="B350" s="231" t="s">
        <v>55</v>
      </c>
      <c r="C350" s="232" t="s">
        <v>1260</v>
      </c>
      <c r="D350" s="233">
        <v>2013</v>
      </c>
      <c r="E350" s="234"/>
      <c r="F350" s="235">
        <v>11051</v>
      </c>
      <c r="G350" s="236">
        <v>10000</v>
      </c>
      <c r="H350" s="236">
        <v>10000</v>
      </c>
      <c r="I350" s="240">
        <f t="shared" si="213"/>
        <v>1051</v>
      </c>
      <c r="J350" s="241"/>
      <c r="K350" s="240">
        <v>1051</v>
      </c>
      <c r="L350" s="240"/>
      <c r="M350" s="240"/>
      <c r="N350" s="239">
        <f t="shared" si="204"/>
        <v>907.943825</v>
      </c>
      <c r="O350" s="239"/>
      <c r="P350" s="239">
        <f t="shared" si="212"/>
        <v>907.943825</v>
      </c>
      <c r="Q350" s="239">
        <v>907.943825</v>
      </c>
      <c r="R350" s="239">
        <v>0</v>
      </c>
      <c r="S350" s="239">
        <v>0</v>
      </c>
      <c r="T350" s="301"/>
      <c r="U350" s="235"/>
      <c r="V350" s="240">
        <f t="shared" si="205"/>
        <v>0</v>
      </c>
      <c r="W350" s="240"/>
      <c r="X350" s="240"/>
      <c r="Y350" s="240">
        <v>1051000000</v>
      </c>
      <c r="Z350" s="241"/>
      <c r="AA350" s="241"/>
      <c r="AB350" s="241">
        <f t="shared" si="206"/>
        <v>1051000000</v>
      </c>
      <c r="AC350" s="242">
        <f t="shared" si="207"/>
        <v>907943825</v>
      </c>
      <c r="AD350" s="465">
        <v>907943825</v>
      </c>
      <c r="AE350" s="302"/>
      <c r="AF350" s="302"/>
      <c r="AG350" s="240"/>
      <c r="AH350" s="240">
        <f t="shared" si="208"/>
        <v>0</v>
      </c>
      <c r="AI350" s="240">
        <f t="shared" si="209"/>
        <v>0</v>
      </c>
      <c r="AJ350" s="240">
        <f t="shared" si="210"/>
        <v>0</v>
      </c>
      <c r="AK350" s="302"/>
      <c r="AL350" s="244"/>
      <c r="AM350" s="236">
        <f t="shared" si="211"/>
        <v>143056175</v>
      </c>
      <c r="AN350" s="413" t="s">
        <v>1649</v>
      </c>
    </row>
    <row r="351" spans="1:40" s="414" customFormat="1" ht="19.5" customHeight="1">
      <c r="A351" s="230"/>
      <c r="B351" s="231" t="s">
        <v>56</v>
      </c>
      <c r="C351" s="232" t="s">
        <v>1260</v>
      </c>
      <c r="D351" s="233" t="s">
        <v>1682</v>
      </c>
      <c r="E351" s="234"/>
      <c r="F351" s="235">
        <v>19820</v>
      </c>
      <c r="G351" s="236">
        <v>16842</v>
      </c>
      <c r="H351" s="236">
        <v>16842</v>
      </c>
      <c r="I351" s="240">
        <f t="shared" si="213"/>
        <v>2978</v>
      </c>
      <c r="J351" s="241"/>
      <c r="K351" s="240">
        <v>2978</v>
      </c>
      <c r="L351" s="240"/>
      <c r="M351" s="240"/>
      <c r="N351" s="239">
        <f t="shared" si="204"/>
        <v>2628.952</v>
      </c>
      <c r="O351" s="239"/>
      <c r="P351" s="239">
        <f t="shared" si="212"/>
        <v>2628.952</v>
      </c>
      <c r="Q351" s="239">
        <v>2628.952</v>
      </c>
      <c r="R351" s="239">
        <v>0</v>
      </c>
      <c r="S351" s="239">
        <v>0</v>
      </c>
      <c r="T351" s="301"/>
      <c r="U351" s="235"/>
      <c r="V351" s="240">
        <f t="shared" si="205"/>
        <v>0</v>
      </c>
      <c r="W351" s="240"/>
      <c r="X351" s="240"/>
      <c r="Y351" s="240">
        <v>2978000000</v>
      </c>
      <c r="Z351" s="241"/>
      <c r="AA351" s="241"/>
      <c r="AB351" s="241">
        <f t="shared" si="206"/>
        <v>2978000000</v>
      </c>
      <c r="AC351" s="242">
        <f t="shared" si="207"/>
        <v>2628952000</v>
      </c>
      <c r="AD351" s="465">
        <v>2628952000</v>
      </c>
      <c r="AE351" s="302"/>
      <c r="AF351" s="302"/>
      <c r="AG351" s="240"/>
      <c r="AH351" s="240">
        <f t="shared" si="208"/>
        <v>0</v>
      </c>
      <c r="AI351" s="240">
        <f t="shared" si="209"/>
        <v>0</v>
      </c>
      <c r="AJ351" s="240">
        <f t="shared" si="210"/>
        <v>0</v>
      </c>
      <c r="AK351" s="302"/>
      <c r="AL351" s="244"/>
      <c r="AM351" s="236">
        <f t="shared" si="211"/>
        <v>349048000</v>
      </c>
      <c r="AN351" s="413" t="s">
        <v>1649</v>
      </c>
    </row>
    <row r="352" spans="1:40" s="414" customFormat="1" ht="19.5" customHeight="1">
      <c r="A352" s="230"/>
      <c r="B352" s="491" t="s">
        <v>57</v>
      </c>
      <c r="C352" s="232" t="s">
        <v>1260</v>
      </c>
      <c r="D352" s="233"/>
      <c r="E352" s="234"/>
      <c r="F352" s="235"/>
      <c r="G352" s="236"/>
      <c r="H352" s="236"/>
      <c r="I352" s="240">
        <f t="shared" si="213"/>
        <v>2811</v>
      </c>
      <c r="J352" s="241"/>
      <c r="K352" s="240">
        <v>2811</v>
      </c>
      <c r="L352" s="240"/>
      <c r="M352" s="240"/>
      <c r="N352" s="239">
        <f t="shared" si="204"/>
        <v>0</v>
      </c>
      <c r="O352" s="239"/>
      <c r="P352" s="239">
        <f t="shared" si="212"/>
        <v>0</v>
      </c>
      <c r="Q352" s="239">
        <v>0</v>
      </c>
      <c r="R352" s="239">
        <v>0</v>
      </c>
      <c r="S352" s="239">
        <v>0</v>
      </c>
      <c r="T352" s="492"/>
      <c r="U352" s="493"/>
      <c r="V352" s="240">
        <f t="shared" si="205"/>
        <v>0</v>
      </c>
      <c r="W352" s="240"/>
      <c r="X352" s="240"/>
      <c r="Y352" s="240">
        <v>2811000000</v>
      </c>
      <c r="Z352" s="241"/>
      <c r="AA352" s="241"/>
      <c r="AB352" s="241">
        <f t="shared" si="206"/>
        <v>2811000000</v>
      </c>
      <c r="AC352" s="242">
        <f t="shared" si="207"/>
        <v>0</v>
      </c>
      <c r="AD352" s="494"/>
      <c r="AE352" s="494"/>
      <c r="AF352" s="494"/>
      <c r="AG352" s="240"/>
      <c r="AH352" s="240">
        <f t="shared" si="208"/>
        <v>0</v>
      </c>
      <c r="AI352" s="240">
        <f t="shared" si="209"/>
        <v>0</v>
      </c>
      <c r="AJ352" s="240">
        <f t="shared" si="210"/>
        <v>0</v>
      </c>
      <c r="AK352" s="302"/>
      <c r="AL352" s="244"/>
      <c r="AM352" s="236">
        <f t="shared" si="211"/>
        <v>2811000000</v>
      </c>
      <c r="AN352" s="472" t="s">
        <v>58</v>
      </c>
    </row>
    <row r="353" spans="1:40" s="414" customFormat="1" ht="19.5" customHeight="1">
      <c r="A353" s="230"/>
      <c r="B353" s="491" t="s">
        <v>59</v>
      </c>
      <c r="C353" s="232" t="s">
        <v>1260</v>
      </c>
      <c r="D353" s="233"/>
      <c r="E353" s="234"/>
      <c r="F353" s="235"/>
      <c r="G353" s="236"/>
      <c r="H353" s="236"/>
      <c r="I353" s="240">
        <f t="shared" si="213"/>
        <v>1929</v>
      </c>
      <c r="J353" s="241"/>
      <c r="K353" s="240">
        <v>1929</v>
      </c>
      <c r="L353" s="240"/>
      <c r="M353" s="240"/>
      <c r="N353" s="239">
        <f t="shared" si="204"/>
        <v>1316.788</v>
      </c>
      <c r="O353" s="239"/>
      <c r="P353" s="239">
        <f t="shared" si="212"/>
        <v>1316.788</v>
      </c>
      <c r="Q353" s="239">
        <v>1316.788</v>
      </c>
      <c r="R353" s="239">
        <v>0</v>
      </c>
      <c r="S353" s="239">
        <v>0</v>
      </c>
      <c r="T353" s="492"/>
      <c r="U353" s="493"/>
      <c r="V353" s="240">
        <f t="shared" si="205"/>
        <v>0</v>
      </c>
      <c r="W353" s="240"/>
      <c r="X353" s="240"/>
      <c r="Y353" s="240">
        <v>1929000000</v>
      </c>
      <c r="Z353" s="241"/>
      <c r="AA353" s="241"/>
      <c r="AB353" s="241">
        <f t="shared" si="206"/>
        <v>1929000000</v>
      </c>
      <c r="AC353" s="242">
        <f t="shared" si="207"/>
        <v>1316788000</v>
      </c>
      <c r="AD353" s="465">
        <v>1316788000</v>
      </c>
      <c r="AE353" s="494"/>
      <c r="AF353" s="494"/>
      <c r="AG353" s="240"/>
      <c r="AH353" s="240">
        <f t="shared" si="208"/>
        <v>0</v>
      </c>
      <c r="AI353" s="240">
        <f t="shared" si="209"/>
        <v>0</v>
      </c>
      <c r="AJ353" s="240">
        <f t="shared" si="210"/>
        <v>0</v>
      </c>
      <c r="AK353" s="302"/>
      <c r="AL353" s="244"/>
      <c r="AM353" s="236">
        <f t="shared" si="211"/>
        <v>612212000</v>
      </c>
      <c r="AN353" s="472" t="s">
        <v>58</v>
      </c>
    </row>
    <row r="354" spans="1:40" s="321" customFormat="1" ht="19.5" customHeight="1">
      <c r="A354" s="216"/>
      <c r="B354" s="217" t="s">
        <v>60</v>
      </c>
      <c r="C354" s="218"/>
      <c r="D354" s="456"/>
      <c r="E354" s="219"/>
      <c r="F354" s="220"/>
      <c r="G354" s="221"/>
      <c r="H354" s="221"/>
      <c r="I354" s="292">
        <f>SUM(I355:I434)</f>
        <v>220216</v>
      </c>
      <c r="J354" s="292">
        <f>SUM(J355:J434)</f>
        <v>0</v>
      </c>
      <c r="K354" s="292">
        <f>SUM(K355:K434)</f>
        <v>220216</v>
      </c>
      <c r="L354" s="292">
        <f>SUM(L355:L434)</f>
        <v>0</v>
      </c>
      <c r="M354" s="292">
        <f>SUM(M355:M434)</f>
        <v>0</v>
      </c>
      <c r="N354" s="282">
        <f>SUM(N355:N435)</f>
        <v>118968.32586299999</v>
      </c>
      <c r="O354" s="282">
        <f aca="true" t="shared" si="214" ref="O354:U354">SUM(O355:O435)</f>
        <v>0</v>
      </c>
      <c r="P354" s="282">
        <f t="shared" si="214"/>
        <v>118968.32586299999</v>
      </c>
      <c r="Q354" s="282">
        <f t="shared" si="214"/>
        <v>75187.90154</v>
      </c>
      <c r="R354" s="282">
        <f t="shared" si="214"/>
        <v>43132.124323000004</v>
      </c>
      <c r="S354" s="282">
        <f t="shared" si="214"/>
        <v>0</v>
      </c>
      <c r="T354" s="282">
        <f t="shared" si="214"/>
        <v>0</v>
      </c>
      <c r="U354" s="282">
        <f t="shared" si="214"/>
        <v>0</v>
      </c>
      <c r="V354" s="240">
        <f t="shared" si="205"/>
        <v>0</v>
      </c>
      <c r="W354" s="240"/>
      <c r="X354" s="240"/>
      <c r="Y354" s="240"/>
      <c r="Z354" s="223"/>
      <c r="AA354" s="223"/>
      <c r="AB354" s="241">
        <f t="shared" si="206"/>
        <v>0</v>
      </c>
      <c r="AC354" s="242">
        <f t="shared" si="207"/>
        <v>0</v>
      </c>
      <c r="AD354" s="223"/>
      <c r="AE354" s="223"/>
      <c r="AF354" s="223"/>
      <c r="AG354" s="240"/>
      <c r="AH354" s="240">
        <f t="shared" si="208"/>
        <v>0</v>
      </c>
      <c r="AI354" s="240">
        <f t="shared" si="209"/>
        <v>0</v>
      </c>
      <c r="AJ354" s="240">
        <f t="shared" si="210"/>
        <v>0</v>
      </c>
      <c r="AK354" s="223"/>
      <c r="AL354" s="244"/>
      <c r="AM354" s="236">
        <f t="shared" si="211"/>
        <v>0</v>
      </c>
      <c r="AN354" s="224"/>
    </row>
    <row r="355" spans="1:40" s="321" customFormat="1" ht="19.5" customHeight="1">
      <c r="A355" s="230"/>
      <c r="B355" s="495" t="s">
        <v>61</v>
      </c>
      <c r="C355" s="232" t="s">
        <v>1260</v>
      </c>
      <c r="D355" s="456"/>
      <c r="E355" s="219"/>
      <c r="F355" s="220"/>
      <c r="G355" s="221"/>
      <c r="H355" s="221"/>
      <c r="I355" s="240">
        <f t="shared" si="213"/>
        <v>14900</v>
      </c>
      <c r="J355" s="223"/>
      <c r="K355" s="240">
        <v>14900</v>
      </c>
      <c r="L355" s="240"/>
      <c r="M355" s="240"/>
      <c r="N355" s="239">
        <f t="shared" si="204"/>
        <v>14560.316</v>
      </c>
      <c r="O355" s="239"/>
      <c r="P355" s="239">
        <f t="shared" si="212"/>
        <v>14560.316</v>
      </c>
      <c r="Q355" s="239">
        <v>14560.316</v>
      </c>
      <c r="R355" s="239">
        <v>0</v>
      </c>
      <c r="S355" s="239">
        <v>0</v>
      </c>
      <c r="T355" s="492"/>
      <c r="U355" s="493"/>
      <c r="V355" s="240">
        <f t="shared" si="205"/>
        <v>0</v>
      </c>
      <c r="W355" s="240"/>
      <c r="X355" s="240"/>
      <c r="Y355" s="240">
        <v>14900000000</v>
      </c>
      <c r="Z355" s="241"/>
      <c r="AA355" s="241"/>
      <c r="AB355" s="241">
        <f t="shared" si="206"/>
        <v>14900000000</v>
      </c>
      <c r="AC355" s="242">
        <f t="shared" si="207"/>
        <v>14560316000</v>
      </c>
      <c r="AD355" s="259">
        <v>14560316000</v>
      </c>
      <c r="AE355" s="494"/>
      <c r="AF355" s="494"/>
      <c r="AG355" s="240"/>
      <c r="AH355" s="240">
        <f t="shared" si="208"/>
        <v>0</v>
      </c>
      <c r="AI355" s="240">
        <f t="shared" si="209"/>
        <v>0</v>
      </c>
      <c r="AJ355" s="240">
        <f t="shared" si="210"/>
        <v>0</v>
      </c>
      <c r="AK355" s="223"/>
      <c r="AL355" s="244"/>
      <c r="AM355" s="236">
        <f t="shared" si="211"/>
        <v>339684000</v>
      </c>
      <c r="AN355" s="472" t="s">
        <v>62</v>
      </c>
    </row>
    <row r="356" spans="1:40" s="321" customFormat="1" ht="19.5" customHeight="1">
      <c r="A356" s="230"/>
      <c r="B356" s="495" t="s">
        <v>63</v>
      </c>
      <c r="C356" s="232" t="s">
        <v>1260</v>
      </c>
      <c r="D356" s="456"/>
      <c r="E356" s="219"/>
      <c r="F356" s="220"/>
      <c r="G356" s="221"/>
      <c r="H356" s="221"/>
      <c r="I356" s="240">
        <f t="shared" si="213"/>
        <v>4780</v>
      </c>
      <c r="J356" s="223"/>
      <c r="K356" s="240">
        <v>4780</v>
      </c>
      <c r="L356" s="240"/>
      <c r="M356" s="240"/>
      <c r="N356" s="239">
        <f t="shared" si="204"/>
        <v>4698.786</v>
      </c>
      <c r="O356" s="239"/>
      <c r="P356" s="239">
        <f t="shared" si="212"/>
        <v>4698.786</v>
      </c>
      <c r="Q356" s="239">
        <v>4698.786</v>
      </c>
      <c r="R356" s="239">
        <v>0</v>
      </c>
      <c r="S356" s="239">
        <v>0</v>
      </c>
      <c r="T356" s="492"/>
      <c r="U356" s="493"/>
      <c r="V356" s="240">
        <f t="shared" si="205"/>
        <v>0</v>
      </c>
      <c r="W356" s="240"/>
      <c r="X356" s="240"/>
      <c r="Y356" s="240">
        <v>4780000000</v>
      </c>
      <c r="Z356" s="241"/>
      <c r="AA356" s="241"/>
      <c r="AB356" s="241">
        <f t="shared" si="206"/>
        <v>4780000000</v>
      </c>
      <c r="AC356" s="242">
        <f t="shared" si="207"/>
        <v>4698786000</v>
      </c>
      <c r="AD356" s="259">
        <v>4698786000</v>
      </c>
      <c r="AE356" s="494"/>
      <c r="AF356" s="494"/>
      <c r="AG356" s="240"/>
      <c r="AH356" s="240">
        <f t="shared" si="208"/>
        <v>0</v>
      </c>
      <c r="AI356" s="240">
        <f t="shared" si="209"/>
        <v>0</v>
      </c>
      <c r="AJ356" s="240">
        <f t="shared" si="210"/>
        <v>0</v>
      </c>
      <c r="AK356" s="223"/>
      <c r="AL356" s="244"/>
      <c r="AM356" s="236">
        <f t="shared" si="211"/>
        <v>81214000</v>
      </c>
      <c r="AN356" s="472" t="s">
        <v>62</v>
      </c>
    </row>
    <row r="357" spans="1:40" s="321" customFormat="1" ht="19.5" customHeight="1">
      <c r="A357" s="230"/>
      <c r="B357" s="495" t="s">
        <v>64</v>
      </c>
      <c r="C357" s="232" t="s">
        <v>1260</v>
      </c>
      <c r="D357" s="456"/>
      <c r="E357" s="219"/>
      <c r="F357" s="220"/>
      <c r="G357" s="221"/>
      <c r="H357" s="221"/>
      <c r="I357" s="240">
        <f t="shared" si="213"/>
        <v>5900</v>
      </c>
      <c r="J357" s="223"/>
      <c r="K357" s="240">
        <v>5900</v>
      </c>
      <c r="L357" s="240"/>
      <c r="M357" s="240"/>
      <c r="N357" s="239">
        <f t="shared" si="204"/>
        <v>5825.01</v>
      </c>
      <c r="O357" s="239"/>
      <c r="P357" s="239">
        <f t="shared" si="212"/>
        <v>5825.01</v>
      </c>
      <c r="Q357" s="239">
        <v>5825.01</v>
      </c>
      <c r="R357" s="239">
        <v>0</v>
      </c>
      <c r="S357" s="239">
        <v>0</v>
      </c>
      <c r="T357" s="492"/>
      <c r="U357" s="493"/>
      <c r="V357" s="240">
        <f t="shared" si="205"/>
        <v>0</v>
      </c>
      <c r="W357" s="240"/>
      <c r="X357" s="240"/>
      <c r="Y357" s="240">
        <v>5900000000</v>
      </c>
      <c r="Z357" s="241"/>
      <c r="AA357" s="241"/>
      <c r="AB357" s="241">
        <f t="shared" si="206"/>
        <v>5900000000</v>
      </c>
      <c r="AC357" s="242">
        <f t="shared" si="207"/>
        <v>5825010000</v>
      </c>
      <c r="AD357" s="259">
        <v>5825010000</v>
      </c>
      <c r="AE357" s="494"/>
      <c r="AF357" s="494"/>
      <c r="AG357" s="240"/>
      <c r="AH357" s="240">
        <f t="shared" si="208"/>
        <v>0</v>
      </c>
      <c r="AI357" s="240">
        <f t="shared" si="209"/>
        <v>0</v>
      </c>
      <c r="AJ357" s="240">
        <f t="shared" si="210"/>
        <v>0</v>
      </c>
      <c r="AK357" s="223"/>
      <c r="AL357" s="244"/>
      <c r="AM357" s="236">
        <f t="shared" si="211"/>
        <v>74990000</v>
      </c>
      <c r="AN357" s="472" t="s">
        <v>62</v>
      </c>
    </row>
    <row r="358" spans="1:40" s="321" customFormat="1" ht="19.5" customHeight="1">
      <c r="A358" s="230"/>
      <c r="B358" s="495" t="s">
        <v>65</v>
      </c>
      <c r="C358" s="232" t="s">
        <v>1260</v>
      </c>
      <c r="D358" s="456"/>
      <c r="E358" s="219"/>
      <c r="F358" s="220"/>
      <c r="G358" s="221"/>
      <c r="H358" s="221"/>
      <c r="I358" s="240">
        <f t="shared" si="213"/>
        <v>1560</v>
      </c>
      <c r="J358" s="223"/>
      <c r="K358" s="240">
        <v>1560</v>
      </c>
      <c r="L358" s="240"/>
      <c r="M358" s="240"/>
      <c r="N358" s="239">
        <f t="shared" si="204"/>
        <v>1081.022</v>
      </c>
      <c r="O358" s="239"/>
      <c r="P358" s="239">
        <f t="shared" si="212"/>
        <v>1081.022</v>
      </c>
      <c r="Q358" s="239">
        <v>1081.022</v>
      </c>
      <c r="R358" s="239">
        <v>0</v>
      </c>
      <c r="S358" s="239">
        <v>0</v>
      </c>
      <c r="T358" s="492"/>
      <c r="U358" s="493"/>
      <c r="V358" s="240">
        <f t="shared" si="205"/>
        <v>0</v>
      </c>
      <c r="W358" s="240"/>
      <c r="X358" s="240"/>
      <c r="Y358" s="240">
        <v>1560000000</v>
      </c>
      <c r="Z358" s="241"/>
      <c r="AA358" s="241"/>
      <c r="AB358" s="241">
        <f t="shared" si="206"/>
        <v>1560000000</v>
      </c>
      <c r="AC358" s="242">
        <f t="shared" si="207"/>
        <v>1081022000</v>
      </c>
      <c r="AD358" s="259">
        <v>1081022000</v>
      </c>
      <c r="AE358" s="494"/>
      <c r="AF358" s="494"/>
      <c r="AG358" s="240"/>
      <c r="AH358" s="240">
        <f t="shared" si="208"/>
        <v>0</v>
      </c>
      <c r="AI358" s="240">
        <f t="shared" si="209"/>
        <v>0</v>
      </c>
      <c r="AJ358" s="240">
        <f t="shared" si="210"/>
        <v>0</v>
      </c>
      <c r="AK358" s="223"/>
      <c r="AL358" s="244"/>
      <c r="AM358" s="236">
        <f t="shared" si="211"/>
        <v>478978000</v>
      </c>
      <c r="AN358" s="472" t="s">
        <v>62</v>
      </c>
    </row>
    <row r="359" spans="1:40" s="321" customFormat="1" ht="19.5" customHeight="1">
      <c r="A359" s="230"/>
      <c r="B359" s="495" t="s">
        <v>66</v>
      </c>
      <c r="C359" s="232" t="s">
        <v>1260</v>
      </c>
      <c r="D359" s="456"/>
      <c r="E359" s="219"/>
      <c r="F359" s="220"/>
      <c r="G359" s="221"/>
      <c r="H359" s="221"/>
      <c r="I359" s="240">
        <f t="shared" si="213"/>
        <v>1310</v>
      </c>
      <c r="J359" s="223"/>
      <c r="K359" s="240">
        <v>1310</v>
      </c>
      <c r="L359" s="240"/>
      <c r="M359" s="240"/>
      <c r="N359" s="239">
        <f t="shared" si="204"/>
        <v>1199.75</v>
      </c>
      <c r="O359" s="239"/>
      <c r="P359" s="239">
        <f t="shared" si="212"/>
        <v>1199.75</v>
      </c>
      <c r="Q359" s="239">
        <v>1199.75</v>
      </c>
      <c r="R359" s="239">
        <v>0</v>
      </c>
      <c r="S359" s="239">
        <v>0</v>
      </c>
      <c r="T359" s="492"/>
      <c r="U359" s="493"/>
      <c r="V359" s="240">
        <f t="shared" si="205"/>
        <v>0</v>
      </c>
      <c r="W359" s="240"/>
      <c r="X359" s="240"/>
      <c r="Y359" s="240">
        <v>1310000000</v>
      </c>
      <c r="Z359" s="241"/>
      <c r="AA359" s="241"/>
      <c r="AB359" s="241">
        <f t="shared" si="206"/>
        <v>1310000000</v>
      </c>
      <c r="AC359" s="242">
        <f t="shared" si="207"/>
        <v>1199750000</v>
      </c>
      <c r="AD359" s="259">
        <v>1199750000</v>
      </c>
      <c r="AE359" s="494"/>
      <c r="AF359" s="494"/>
      <c r="AG359" s="240"/>
      <c r="AH359" s="240">
        <f t="shared" si="208"/>
        <v>0</v>
      </c>
      <c r="AI359" s="240">
        <f t="shared" si="209"/>
        <v>0</v>
      </c>
      <c r="AJ359" s="240">
        <f t="shared" si="210"/>
        <v>0</v>
      </c>
      <c r="AK359" s="223"/>
      <c r="AL359" s="244"/>
      <c r="AM359" s="236">
        <f t="shared" si="211"/>
        <v>110250000</v>
      </c>
      <c r="AN359" s="472" t="s">
        <v>62</v>
      </c>
    </row>
    <row r="360" spans="1:40" s="321" customFormat="1" ht="19.5" customHeight="1">
      <c r="A360" s="230"/>
      <c r="B360" s="495" t="s">
        <v>67</v>
      </c>
      <c r="C360" s="232" t="s">
        <v>1260</v>
      </c>
      <c r="D360" s="456"/>
      <c r="E360" s="219"/>
      <c r="F360" s="220"/>
      <c r="G360" s="221"/>
      <c r="H360" s="221"/>
      <c r="I360" s="240">
        <f t="shared" si="213"/>
        <v>1820</v>
      </c>
      <c r="J360" s="223"/>
      <c r="K360" s="240">
        <v>1820</v>
      </c>
      <c r="L360" s="240"/>
      <c r="M360" s="240"/>
      <c r="N360" s="239">
        <f t="shared" si="204"/>
        <v>1684.882</v>
      </c>
      <c r="O360" s="239"/>
      <c r="P360" s="239">
        <f t="shared" si="212"/>
        <v>1684.882</v>
      </c>
      <c r="Q360" s="239">
        <v>1684.882</v>
      </c>
      <c r="R360" s="239">
        <v>0</v>
      </c>
      <c r="S360" s="239">
        <v>0</v>
      </c>
      <c r="T360" s="492"/>
      <c r="U360" s="493"/>
      <c r="V360" s="240">
        <f t="shared" si="205"/>
        <v>0</v>
      </c>
      <c r="W360" s="240"/>
      <c r="X360" s="240"/>
      <c r="Y360" s="240">
        <v>1820000000</v>
      </c>
      <c r="Z360" s="241"/>
      <c r="AA360" s="241"/>
      <c r="AB360" s="241">
        <f t="shared" si="206"/>
        <v>1820000000</v>
      </c>
      <c r="AC360" s="242">
        <f t="shared" si="207"/>
        <v>1684882000</v>
      </c>
      <c r="AD360" s="259">
        <v>1684882000</v>
      </c>
      <c r="AE360" s="494"/>
      <c r="AF360" s="494"/>
      <c r="AG360" s="240"/>
      <c r="AH360" s="240">
        <f t="shared" si="208"/>
        <v>0</v>
      </c>
      <c r="AI360" s="240">
        <f t="shared" si="209"/>
        <v>0</v>
      </c>
      <c r="AJ360" s="240">
        <f t="shared" si="210"/>
        <v>0</v>
      </c>
      <c r="AK360" s="223"/>
      <c r="AL360" s="244"/>
      <c r="AM360" s="236">
        <f t="shared" si="211"/>
        <v>135118000</v>
      </c>
      <c r="AN360" s="472" t="s">
        <v>62</v>
      </c>
    </row>
    <row r="361" spans="1:40" s="321" customFormat="1" ht="19.5" customHeight="1">
      <c r="A361" s="230"/>
      <c r="B361" s="495" t="s">
        <v>68</v>
      </c>
      <c r="C361" s="232" t="s">
        <v>1260</v>
      </c>
      <c r="D361" s="456"/>
      <c r="E361" s="219"/>
      <c r="F361" s="220"/>
      <c r="G361" s="221"/>
      <c r="H361" s="221"/>
      <c r="I361" s="240">
        <f t="shared" si="213"/>
        <v>1200</v>
      </c>
      <c r="J361" s="223"/>
      <c r="K361" s="240">
        <v>1200</v>
      </c>
      <c r="L361" s="240"/>
      <c r="M361" s="240"/>
      <c r="N361" s="239">
        <f t="shared" si="204"/>
        <v>1147.338</v>
      </c>
      <c r="O361" s="248"/>
      <c r="P361" s="239">
        <f t="shared" si="212"/>
        <v>1147.338</v>
      </c>
      <c r="Q361" s="239">
        <v>1147.338</v>
      </c>
      <c r="R361" s="239">
        <v>0</v>
      </c>
      <c r="S361" s="239">
        <v>0</v>
      </c>
      <c r="T361" s="492"/>
      <c r="U361" s="493"/>
      <c r="V361" s="240">
        <f t="shared" si="205"/>
        <v>0</v>
      </c>
      <c r="W361" s="240"/>
      <c r="X361" s="240"/>
      <c r="Y361" s="240">
        <v>1200000000</v>
      </c>
      <c r="Z361" s="241"/>
      <c r="AA361" s="241"/>
      <c r="AB361" s="241">
        <f t="shared" si="206"/>
        <v>1200000000</v>
      </c>
      <c r="AC361" s="242">
        <f t="shared" si="207"/>
        <v>1147338000</v>
      </c>
      <c r="AD361" s="496">
        <v>1147338000</v>
      </c>
      <c r="AE361" s="494"/>
      <c r="AF361" s="494"/>
      <c r="AG361" s="240"/>
      <c r="AH361" s="240">
        <f t="shared" si="208"/>
        <v>31101000</v>
      </c>
      <c r="AI361" s="240">
        <f t="shared" si="209"/>
        <v>31101000</v>
      </c>
      <c r="AJ361" s="240">
        <f t="shared" si="210"/>
        <v>0</v>
      </c>
      <c r="AK361" s="497">
        <v>31101000</v>
      </c>
      <c r="AL361" s="244"/>
      <c r="AM361" s="236">
        <f t="shared" si="211"/>
        <v>21561000</v>
      </c>
      <c r="AN361" s="472" t="s">
        <v>62</v>
      </c>
    </row>
    <row r="362" spans="1:40" s="321" customFormat="1" ht="19.5" customHeight="1">
      <c r="A362" s="230"/>
      <c r="B362" s="495" t="s">
        <v>69</v>
      </c>
      <c r="C362" s="232" t="s">
        <v>1260</v>
      </c>
      <c r="D362" s="456"/>
      <c r="E362" s="219"/>
      <c r="F362" s="220"/>
      <c r="G362" s="221"/>
      <c r="H362" s="221"/>
      <c r="I362" s="240">
        <f t="shared" si="213"/>
        <v>1204</v>
      </c>
      <c r="J362" s="223"/>
      <c r="K362" s="240">
        <v>1204</v>
      </c>
      <c r="L362" s="240"/>
      <c r="M362" s="240"/>
      <c r="N362" s="239">
        <f t="shared" si="204"/>
        <v>1071.8</v>
      </c>
      <c r="O362" s="239"/>
      <c r="P362" s="239">
        <f t="shared" si="212"/>
        <v>1071.8</v>
      </c>
      <c r="Q362" s="239">
        <v>1071.8</v>
      </c>
      <c r="R362" s="239">
        <v>0</v>
      </c>
      <c r="S362" s="239">
        <v>0</v>
      </c>
      <c r="T362" s="492"/>
      <c r="U362" s="493"/>
      <c r="V362" s="240">
        <f t="shared" si="205"/>
        <v>0</v>
      </c>
      <c r="W362" s="240"/>
      <c r="X362" s="240"/>
      <c r="Y362" s="240">
        <v>1204000000</v>
      </c>
      <c r="Z362" s="241"/>
      <c r="AA362" s="241"/>
      <c r="AB362" s="241">
        <f t="shared" si="206"/>
        <v>1204000000</v>
      </c>
      <c r="AC362" s="242">
        <f t="shared" si="207"/>
        <v>1071800000</v>
      </c>
      <c r="AD362" s="259">
        <v>1071800000</v>
      </c>
      <c r="AE362" s="494"/>
      <c r="AF362" s="494"/>
      <c r="AG362" s="240"/>
      <c r="AH362" s="240">
        <f t="shared" si="208"/>
        <v>23957000</v>
      </c>
      <c r="AI362" s="240">
        <f t="shared" si="209"/>
        <v>23957000</v>
      </c>
      <c r="AJ362" s="240">
        <f t="shared" si="210"/>
        <v>0</v>
      </c>
      <c r="AK362" s="341">
        <v>23957000</v>
      </c>
      <c r="AL362" s="244"/>
      <c r="AM362" s="236">
        <f t="shared" si="211"/>
        <v>108243000</v>
      </c>
      <c r="AN362" s="472" t="s">
        <v>62</v>
      </c>
    </row>
    <row r="363" spans="1:40" s="321" customFormat="1" ht="19.5" customHeight="1">
      <c r="A363" s="230"/>
      <c r="B363" s="495" t="s">
        <v>70</v>
      </c>
      <c r="C363" s="232" t="s">
        <v>1260</v>
      </c>
      <c r="D363" s="456"/>
      <c r="E363" s="219"/>
      <c r="F363" s="220"/>
      <c r="G363" s="221"/>
      <c r="H363" s="221"/>
      <c r="I363" s="240">
        <f t="shared" si="213"/>
        <v>2485</v>
      </c>
      <c r="J363" s="223"/>
      <c r="K363" s="240">
        <v>2485</v>
      </c>
      <c r="L363" s="240"/>
      <c r="M363" s="240"/>
      <c r="N363" s="239">
        <f t="shared" si="204"/>
        <v>2086.415</v>
      </c>
      <c r="O363" s="239"/>
      <c r="P363" s="239">
        <f t="shared" si="212"/>
        <v>2086.415</v>
      </c>
      <c r="Q363" s="239">
        <v>2086.415</v>
      </c>
      <c r="R363" s="239">
        <v>0</v>
      </c>
      <c r="S363" s="239">
        <v>0</v>
      </c>
      <c r="T363" s="492"/>
      <c r="U363" s="493"/>
      <c r="V363" s="240">
        <f t="shared" si="205"/>
        <v>0</v>
      </c>
      <c r="W363" s="240"/>
      <c r="X363" s="240"/>
      <c r="Y363" s="240">
        <v>2485000000</v>
      </c>
      <c r="Z363" s="241"/>
      <c r="AA363" s="241"/>
      <c r="AB363" s="241">
        <f t="shared" si="206"/>
        <v>2485000000</v>
      </c>
      <c r="AC363" s="242">
        <f t="shared" si="207"/>
        <v>2086415000</v>
      </c>
      <c r="AD363" s="494">
        <v>2086415000</v>
      </c>
      <c r="AE363" s="494"/>
      <c r="AF363" s="494"/>
      <c r="AG363" s="240"/>
      <c r="AH363" s="240">
        <f t="shared" si="208"/>
        <v>0</v>
      </c>
      <c r="AI363" s="240">
        <f t="shared" si="209"/>
        <v>0</v>
      </c>
      <c r="AJ363" s="240">
        <f t="shared" si="210"/>
        <v>0</v>
      </c>
      <c r="AK363" s="223"/>
      <c r="AL363" s="244"/>
      <c r="AM363" s="236">
        <f t="shared" si="211"/>
        <v>398585000</v>
      </c>
      <c r="AN363" s="472" t="s">
        <v>62</v>
      </c>
    </row>
    <row r="364" spans="1:40" s="321" customFormat="1" ht="19.5" customHeight="1">
      <c r="A364" s="230"/>
      <c r="B364" s="495" t="s">
        <v>71</v>
      </c>
      <c r="C364" s="232"/>
      <c r="D364" s="456"/>
      <c r="E364" s="219"/>
      <c r="F364" s="220"/>
      <c r="G364" s="221"/>
      <c r="H364" s="221"/>
      <c r="I364" s="240">
        <f t="shared" si="213"/>
        <v>10500</v>
      </c>
      <c r="J364" s="223"/>
      <c r="K364" s="240">
        <v>10500</v>
      </c>
      <c r="L364" s="240"/>
      <c r="M364" s="240"/>
      <c r="N364" s="239">
        <f t="shared" si="204"/>
        <v>4922.739</v>
      </c>
      <c r="O364" s="239"/>
      <c r="P364" s="239">
        <f t="shared" si="212"/>
        <v>4922.739</v>
      </c>
      <c r="Q364" s="239">
        <v>4922.739</v>
      </c>
      <c r="R364" s="239">
        <v>0</v>
      </c>
      <c r="S364" s="239">
        <v>0</v>
      </c>
      <c r="T364" s="492"/>
      <c r="U364" s="493"/>
      <c r="V364" s="240">
        <f t="shared" si="205"/>
        <v>0</v>
      </c>
      <c r="W364" s="240"/>
      <c r="X364" s="240"/>
      <c r="Y364" s="240">
        <v>10500000000</v>
      </c>
      <c r="Z364" s="241"/>
      <c r="AA364" s="241"/>
      <c r="AB364" s="241">
        <f t="shared" si="206"/>
        <v>10500000000</v>
      </c>
      <c r="AC364" s="242">
        <f t="shared" si="207"/>
        <v>4922739000</v>
      </c>
      <c r="AD364" s="259">
        <v>4922739000</v>
      </c>
      <c r="AE364" s="494"/>
      <c r="AF364" s="494"/>
      <c r="AG364" s="240"/>
      <c r="AH364" s="240">
        <f t="shared" si="208"/>
        <v>0</v>
      </c>
      <c r="AI364" s="240">
        <f t="shared" si="209"/>
        <v>0</v>
      </c>
      <c r="AJ364" s="240">
        <f t="shared" si="210"/>
        <v>0</v>
      </c>
      <c r="AK364" s="223"/>
      <c r="AL364" s="244"/>
      <c r="AM364" s="236">
        <f t="shared" si="211"/>
        <v>5577261000</v>
      </c>
      <c r="AN364" s="472" t="s">
        <v>72</v>
      </c>
    </row>
    <row r="365" spans="1:40" s="321" customFormat="1" ht="19.5" customHeight="1">
      <c r="A365" s="230"/>
      <c r="B365" s="495" t="s">
        <v>73</v>
      </c>
      <c r="C365" s="232" t="s">
        <v>1260</v>
      </c>
      <c r="D365" s="456"/>
      <c r="E365" s="219"/>
      <c r="F365" s="220"/>
      <c r="G365" s="221"/>
      <c r="H365" s="221"/>
      <c r="I365" s="240">
        <f t="shared" si="213"/>
        <v>1950</v>
      </c>
      <c r="J365" s="223"/>
      <c r="K365" s="240">
        <v>1950</v>
      </c>
      <c r="L365" s="240"/>
      <c r="M365" s="240"/>
      <c r="N365" s="239">
        <f t="shared" si="204"/>
        <v>1684.746296</v>
      </c>
      <c r="O365" s="239"/>
      <c r="P365" s="239">
        <f t="shared" si="212"/>
        <v>1684.746296</v>
      </c>
      <c r="Q365" s="239">
        <v>1684.746296</v>
      </c>
      <c r="R365" s="239">
        <v>0</v>
      </c>
      <c r="S365" s="239">
        <v>0</v>
      </c>
      <c r="T365" s="492"/>
      <c r="U365" s="493"/>
      <c r="V365" s="240">
        <f t="shared" si="205"/>
        <v>0</v>
      </c>
      <c r="W365" s="240"/>
      <c r="X365" s="240"/>
      <c r="Y365" s="240">
        <v>1950000000</v>
      </c>
      <c r="Z365" s="241"/>
      <c r="AA365" s="241"/>
      <c r="AB365" s="241">
        <f t="shared" si="206"/>
        <v>1950000000</v>
      </c>
      <c r="AC365" s="242">
        <f t="shared" si="207"/>
        <v>1684746296</v>
      </c>
      <c r="AD365" s="259">
        <v>1684746296</v>
      </c>
      <c r="AE365" s="494"/>
      <c r="AF365" s="494"/>
      <c r="AG365" s="240"/>
      <c r="AH365" s="240">
        <f t="shared" si="208"/>
        <v>0</v>
      </c>
      <c r="AI365" s="240">
        <f t="shared" si="209"/>
        <v>0</v>
      </c>
      <c r="AJ365" s="240">
        <f t="shared" si="210"/>
        <v>0</v>
      </c>
      <c r="AK365" s="223"/>
      <c r="AL365" s="244"/>
      <c r="AM365" s="236">
        <f t="shared" si="211"/>
        <v>265253704</v>
      </c>
      <c r="AN365" s="472" t="s">
        <v>72</v>
      </c>
    </row>
    <row r="366" spans="1:40" s="321" customFormat="1" ht="19.5" customHeight="1">
      <c r="A366" s="230"/>
      <c r="B366" s="495" t="s">
        <v>74</v>
      </c>
      <c r="C366" s="232" t="s">
        <v>1260</v>
      </c>
      <c r="D366" s="456"/>
      <c r="E366" s="219"/>
      <c r="F366" s="220"/>
      <c r="G366" s="221"/>
      <c r="H366" s="221"/>
      <c r="I366" s="240">
        <f t="shared" si="213"/>
        <v>1950</v>
      </c>
      <c r="J366" s="223"/>
      <c r="K366" s="240">
        <v>1950</v>
      </c>
      <c r="L366" s="240"/>
      <c r="M366" s="240"/>
      <c r="N366" s="239">
        <f t="shared" si="204"/>
        <v>1702.430844</v>
      </c>
      <c r="O366" s="239"/>
      <c r="P366" s="239">
        <f t="shared" si="212"/>
        <v>1702.430844</v>
      </c>
      <c r="Q366" s="239">
        <v>1702.430844</v>
      </c>
      <c r="R366" s="239">
        <v>0</v>
      </c>
      <c r="S366" s="239">
        <v>0</v>
      </c>
      <c r="T366" s="492"/>
      <c r="U366" s="493"/>
      <c r="V366" s="240">
        <f t="shared" si="205"/>
        <v>0</v>
      </c>
      <c r="W366" s="240"/>
      <c r="X366" s="240"/>
      <c r="Y366" s="240">
        <v>1950000000</v>
      </c>
      <c r="Z366" s="241"/>
      <c r="AA366" s="241"/>
      <c r="AB366" s="241">
        <f t="shared" si="206"/>
        <v>1950000000</v>
      </c>
      <c r="AC366" s="242">
        <f t="shared" si="207"/>
        <v>1702430844</v>
      </c>
      <c r="AD366" s="259">
        <v>1702430844</v>
      </c>
      <c r="AE366" s="494"/>
      <c r="AF366" s="494"/>
      <c r="AG366" s="240"/>
      <c r="AH366" s="240">
        <f t="shared" si="208"/>
        <v>0</v>
      </c>
      <c r="AI366" s="240">
        <f t="shared" si="209"/>
        <v>0</v>
      </c>
      <c r="AJ366" s="240">
        <f t="shared" si="210"/>
        <v>0</v>
      </c>
      <c r="AK366" s="223"/>
      <c r="AL366" s="244"/>
      <c r="AM366" s="236">
        <f t="shared" si="211"/>
        <v>247569156</v>
      </c>
      <c r="AN366" s="472" t="s">
        <v>72</v>
      </c>
    </row>
    <row r="367" spans="1:40" s="321" customFormat="1" ht="19.5" customHeight="1">
      <c r="A367" s="230"/>
      <c r="B367" s="495" t="s">
        <v>75</v>
      </c>
      <c r="C367" s="232" t="s">
        <v>1260</v>
      </c>
      <c r="D367" s="456"/>
      <c r="E367" s="219"/>
      <c r="F367" s="220"/>
      <c r="G367" s="221"/>
      <c r="H367" s="221"/>
      <c r="I367" s="240">
        <f t="shared" si="213"/>
        <v>3400</v>
      </c>
      <c r="J367" s="223"/>
      <c r="K367" s="240">
        <v>3400</v>
      </c>
      <c r="L367" s="240"/>
      <c r="M367" s="240"/>
      <c r="N367" s="239">
        <f t="shared" si="204"/>
        <v>2381.585</v>
      </c>
      <c r="O367" s="239"/>
      <c r="P367" s="239">
        <f t="shared" si="212"/>
        <v>2381.585</v>
      </c>
      <c r="Q367" s="239">
        <v>2381.585</v>
      </c>
      <c r="R367" s="239">
        <v>0</v>
      </c>
      <c r="S367" s="239">
        <v>0</v>
      </c>
      <c r="T367" s="492"/>
      <c r="U367" s="493"/>
      <c r="V367" s="240">
        <f t="shared" si="205"/>
        <v>0</v>
      </c>
      <c r="W367" s="240"/>
      <c r="X367" s="240"/>
      <c r="Y367" s="240">
        <v>3400000000</v>
      </c>
      <c r="Z367" s="241"/>
      <c r="AA367" s="241"/>
      <c r="AB367" s="241">
        <f t="shared" si="206"/>
        <v>3400000000</v>
      </c>
      <c r="AC367" s="242">
        <f t="shared" si="207"/>
        <v>2381585000</v>
      </c>
      <c r="AD367" s="259">
        <v>2381585000</v>
      </c>
      <c r="AE367" s="494"/>
      <c r="AF367" s="494"/>
      <c r="AG367" s="240"/>
      <c r="AH367" s="240">
        <f t="shared" si="208"/>
        <v>0</v>
      </c>
      <c r="AI367" s="240">
        <f t="shared" si="209"/>
        <v>0</v>
      </c>
      <c r="AJ367" s="240">
        <f t="shared" si="210"/>
        <v>0</v>
      </c>
      <c r="AK367" s="223"/>
      <c r="AL367" s="244"/>
      <c r="AM367" s="236">
        <f t="shared" si="211"/>
        <v>1018415000</v>
      </c>
      <c r="AN367" s="472" t="s">
        <v>72</v>
      </c>
    </row>
    <row r="368" spans="1:40" s="321" customFormat="1" ht="19.5" customHeight="1">
      <c r="A368" s="230"/>
      <c r="B368" s="495" t="s">
        <v>76</v>
      </c>
      <c r="C368" s="232" t="s">
        <v>1260</v>
      </c>
      <c r="D368" s="456"/>
      <c r="E368" s="219"/>
      <c r="F368" s="220"/>
      <c r="G368" s="221"/>
      <c r="H368" s="221"/>
      <c r="I368" s="240">
        <f t="shared" si="213"/>
        <v>4030</v>
      </c>
      <c r="J368" s="223"/>
      <c r="K368" s="240">
        <v>4030</v>
      </c>
      <c r="L368" s="240"/>
      <c r="M368" s="240"/>
      <c r="N368" s="239">
        <f t="shared" si="204"/>
        <v>3337.854271</v>
      </c>
      <c r="O368" s="239"/>
      <c r="P368" s="239">
        <f t="shared" si="212"/>
        <v>3337.854271</v>
      </c>
      <c r="Q368" s="239">
        <v>3337.854271</v>
      </c>
      <c r="R368" s="239">
        <v>0</v>
      </c>
      <c r="S368" s="239">
        <v>0</v>
      </c>
      <c r="T368" s="492"/>
      <c r="U368" s="493"/>
      <c r="V368" s="240">
        <f t="shared" si="205"/>
        <v>0</v>
      </c>
      <c r="W368" s="240"/>
      <c r="X368" s="240"/>
      <c r="Y368" s="240">
        <v>4030000000</v>
      </c>
      <c r="Z368" s="241"/>
      <c r="AA368" s="241"/>
      <c r="AB368" s="241">
        <f t="shared" si="206"/>
        <v>4030000000</v>
      </c>
      <c r="AC368" s="242">
        <f t="shared" si="207"/>
        <v>3337854271</v>
      </c>
      <c r="AD368" s="259">
        <v>3337854271</v>
      </c>
      <c r="AE368" s="494"/>
      <c r="AF368" s="494"/>
      <c r="AG368" s="240"/>
      <c r="AH368" s="240">
        <f t="shared" si="208"/>
        <v>0</v>
      </c>
      <c r="AI368" s="240">
        <f t="shared" si="209"/>
        <v>0</v>
      </c>
      <c r="AJ368" s="240">
        <f t="shared" si="210"/>
        <v>0</v>
      </c>
      <c r="AK368" s="223"/>
      <c r="AL368" s="244"/>
      <c r="AM368" s="236">
        <f t="shared" si="211"/>
        <v>692145729</v>
      </c>
      <c r="AN368" s="472" t="s">
        <v>72</v>
      </c>
    </row>
    <row r="369" spans="1:40" s="321" customFormat="1" ht="19.5" customHeight="1">
      <c r="A369" s="230"/>
      <c r="B369" s="495" t="s">
        <v>77</v>
      </c>
      <c r="C369" s="232" t="s">
        <v>1260</v>
      </c>
      <c r="D369" s="456"/>
      <c r="E369" s="219"/>
      <c r="F369" s="220"/>
      <c r="G369" s="221"/>
      <c r="H369" s="221"/>
      <c r="I369" s="240">
        <f t="shared" si="213"/>
        <v>1780</v>
      </c>
      <c r="J369" s="223"/>
      <c r="K369" s="240">
        <v>1780</v>
      </c>
      <c r="L369" s="240"/>
      <c r="M369" s="240"/>
      <c r="N369" s="239">
        <f t="shared" si="204"/>
        <v>1455.318128</v>
      </c>
      <c r="O369" s="239"/>
      <c r="P369" s="239">
        <f t="shared" si="212"/>
        <v>1455.318128</v>
      </c>
      <c r="Q369" s="239">
        <v>1455.318128</v>
      </c>
      <c r="R369" s="239">
        <v>0</v>
      </c>
      <c r="S369" s="239">
        <v>0</v>
      </c>
      <c r="T369" s="492"/>
      <c r="U369" s="493"/>
      <c r="V369" s="240">
        <f t="shared" si="205"/>
        <v>0</v>
      </c>
      <c r="W369" s="240"/>
      <c r="X369" s="240"/>
      <c r="Y369" s="240">
        <v>1780000000</v>
      </c>
      <c r="Z369" s="241"/>
      <c r="AA369" s="241"/>
      <c r="AB369" s="241">
        <f t="shared" si="206"/>
        <v>1780000000</v>
      </c>
      <c r="AC369" s="242">
        <f t="shared" si="207"/>
        <v>1455318128</v>
      </c>
      <c r="AD369" s="259">
        <v>1455318128</v>
      </c>
      <c r="AE369" s="494"/>
      <c r="AF369" s="494"/>
      <c r="AG369" s="240"/>
      <c r="AH369" s="240">
        <f t="shared" si="208"/>
        <v>0</v>
      </c>
      <c r="AI369" s="240">
        <f t="shared" si="209"/>
        <v>0</v>
      </c>
      <c r="AJ369" s="240">
        <f t="shared" si="210"/>
        <v>0</v>
      </c>
      <c r="AK369" s="223"/>
      <c r="AL369" s="244"/>
      <c r="AM369" s="236">
        <f t="shared" si="211"/>
        <v>324681872</v>
      </c>
      <c r="AN369" s="472" t="s">
        <v>72</v>
      </c>
    </row>
    <row r="370" spans="1:40" s="321" customFormat="1" ht="19.5" customHeight="1">
      <c r="A370" s="230"/>
      <c r="B370" s="495" t="s">
        <v>78</v>
      </c>
      <c r="C370" s="232" t="s">
        <v>1260</v>
      </c>
      <c r="D370" s="456"/>
      <c r="E370" s="219"/>
      <c r="F370" s="220"/>
      <c r="G370" s="221"/>
      <c r="H370" s="221"/>
      <c r="I370" s="240">
        <f t="shared" si="213"/>
        <v>1248</v>
      </c>
      <c r="J370" s="223"/>
      <c r="K370" s="240">
        <v>1248</v>
      </c>
      <c r="L370" s="240"/>
      <c r="M370" s="240"/>
      <c r="N370" s="239">
        <f t="shared" si="204"/>
        <v>933.758</v>
      </c>
      <c r="O370" s="239"/>
      <c r="P370" s="239">
        <f t="shared" si="212"/>
        <v>933.758</v>
      </c>
      <c r="Q370" s="239">
        <v>933.758</v>
      </c>
      <c r="R370" s="239">
        <v>0</v>
      </c>
      <c r="S370" s="239">
        <v>0</v>
      </c>
      <c r="T370" s="492"/>
      <c r="U370" s="493"/>
      <c r="V370" s="240">
        <f t="shared" si="205"/>
        <v>0</v>
      </c>
      <c r="W370" s="240"/>
      <c r="X370" s="240"/>
      <c r="Y370" s="240">
        <v>1248000000</v>
      </c>
      <c r="Z370" s="241"/>
      <c r="AA370" s="241"/>
      <c r="AB370" s="241">
        <f t="shared" si="206"/>
        <v>1248000000</v>
      </c>
      <c r="AC370" s="242">
        <f t="shared" si="207"/>
        <v>933758000</v>
      </c>
      <c r="AD370" s="259">
        <v>933758000</v>
      </c>
      <c r="AE370" s="494"/>
      <c r="AF370" s="494"/>
      <c r="AG370" s="240"/>
      <c r="AH370" s="240">
        <f t="shared" si="208"/>
        <v>18228000</v>
      </c>
      <c r="AI370" s="240">
        <f t="shared" si="209"/>
        <v>18228000</v>
      </c>
      <c r="AJ370" s="240">
        <f t="shared" si="210"/>
        <v>0</v>
      </c>
      <c r="AK370" s="341">
        <v>18228000</v>
      </c>
      <c r="AL370" s="244"/>
      <c r="AM370" s="236">
        <f t="shared" si="211"/>
        <v>296014000</v>
      </c>
      <c r="AN370" s="472" t="s">
        <v>72</v>
      </c>
    </row>
    <row r="371" spans="1:40" s="321" customFormat="1" ht="19.5" customHeight="1">
      <c r="A371" s="230"/>
      <c r="B371" s="495" t="s">
        <v>79</v>
      </c>
      <c r="C371" s="232" t="s">
        <v>1260</v>
      </c>
      <c r="D371" s="456"/>
      <c r="E371" s="219"/>
      <c r="F371" s="220"/>
      <c r="G371" s="221"/>
      <c r="H371" s="221"/>
      <c r="I371" s="240">
        <f t="shared" si="213"/>
        <v>1250</v>
      </c>
      <c r="J371" s="223"/>
      <c r="K371" s="240">
        <v>1250</v>
      </c>
      <c r="L371" s="240"/>
      <c r="M371" s="240"/>
      <c r="N371" s="239">
        <f t="shared" si="204"/>
        <v>1161.767</v>
      </c>
      <c r="O371" s="239"/>
      <c r="P371" s="239">
        <f t="shared" si="212"/>
        <v>1161.767</v>
      </c>
      <c r="Q371" s="239">
        <v>1161.767</v>
      </c>
      <c r="R371" s="239">
        <v>0</v>
      </c>
      <c r="S371" s="239">
        <v>0</v>
      </c>
      <c r="T371" s="492"/>
      <c r="U371" s="493"/>
      <c r="V371" s="240">
        <f t="shared" si="205"/>
        <v>0</v>
      </c>
      <c r="W371" s="240"/>
      <c r="X371" s="240"/>
      <c r="Y371" s="240">
        <v>1250000000</v>
      </c>
      <c r="Z371" s="241"/>
      <c r="AA371" s="241"/>
      <c r="AB371" s="241">
        <f t="shared" si="206"/>
        <v>1250000000</v>
      </c>
      <c r="AC371" s="242">
        <f t="shared" si="207"/>
        <v>1161767000</v>
      </c>
      <c r="AD371" s="259">
        <v>1161767000</v>
      </c>
      <c r="AE371" s="494"/>
      <c r="AF371" s="494"/>
      <c r="AG371" s="240"/>
      <c r="AH371" s="240">
        <f t="shared" si="208"/>
        <v>0</v>
      </c>
      <c r="AI371" s="240">
        <f t="shared" si="209"/>
        <v>0</v>
      </c>
      <c r="AJ371" s="240">
        <f t="shared" si="210"/>
        <v>0</v>
      </c>
      <c r="AK371" s="223"/>
      <c r="AL371" s="244"/>
      <c r="AM371" s="236">
        <f t="shared" si="211"/>
        <v>88233000</v>
      </c>
      <c r="AN371" s="472" t="s">
        <v>72</v>
      </c>
    </row>
    <row r="372" spans="1:40" s="321" customFormat="1" ht="19.5" customHeight="1">
      <c r="A372" s="230"/>
      <c r="B372" s="495" t="s">
        <v>80</v>
      </c>
      <c r="C372" s="232" t="s">
        <v>1260</v>
      </c>
      <c r="D372" s="456"/>
      <c r="E372" s="219"/>
      <c r="F372" s="220"/>
      <c r="G372" s="221"/>
      <c r="H372" s="221"/>
      <c r="I372" s="240">
        <f t="shared" si="213"/>
        <v>2600</v>
      </c>
      <c r="J372" s="223"/>
      <c r="K372" s="240">
        <v>2600</v>
      </c>
      <c r="L372" s="240"/>
      <c r="M372" s="240"/>
      <c r="N372" s="239">
        <f t="shared" si="204"/>
        <v>75.656</v>
      </c>
      <c r="O372" s="239"/>
      <c r="P372" s="239">
        <f t="shared" si="212"/>
        <v>75.656</v>
      </c>
      <c r="Q372" s="239">
        <v>75.656</v>
      </c>
      <c r="R372" s="239">
        <v>0</v>
      </c>
      <c r="S372" s="239">
        <v>0</v>
      </c>
      <c r="T372" s="492"/>
      <c r="U372" s="493"/>
      <c r="V372" s="240">
        <f t="shared" si="205"/>
        <v>0</v>
      </c>
      <c r="W372" s="240"/>
      <c r="X372" s="240"/>
      <c r="Y372" s="240">
        <v>2600000000</v>
      </c>
      <c r="Z372" s="241"/>
      <c r="AA372" s="241"/>
      <c r="AB372" s="241">
        <f t="shared" si="206"/>
        <v>2600000000</v>
      </c>
      <c r="AC372" s="242">
        <f t="shared" si="207"/>
        <v>75656000</v>
      </c>
      <c r="AD372" s="259">
        <v>75656000</v>
      </c>
      <c r="AE372" s="494"/>
      <c r="AF372" s="494"/>
      <c r="AG372" s="240"/>
      <c r="AH372" s="240">
        <f t="shared" si="208"/>
        <v>900000000</v>
      </c>
      <c r="AI372" s="240">
        <f t="shared" si="209"/>
        <v>900000000</v>
      </c>
      <c r="AJ372" s="240">
        <f t="shared" si="210"/>
        <v>0</v>
      </c>
      <c r="AK372" s="341">
        <v>900000000</v>
      </c>
      <c r="AL372" s="244"/>
      <c r="AM372" s="236">
        <f t="shared" si="211"/>
        <v>1624344000</v>
      </c>
      <c r="AN372" s="472" t="s">
        <v>58</v>
      </c>
    </row>
    <row r="373" spans="1:40" s="321" customFormat="1" ht="19.5" customHeight="1">
      <c r="A373" s="230"/>
      <c r="B373" s="495" t="s">
        <v>81</v>
      </c>
      <c r="C373" s="232" t="s">
        <v>1260</v>
      </c>
      <c r="D373" s="456"/>
      <c r="E373" s="219"/>
      <c r="F373" s="220"/>
      <c r="G373" s="221"/>
      <c r="H373" s="221"/>
      <c r="I373" s="240">
        <f t="shared" si="213"/>
        <v>1250</v>
      </c>
      <c r="J373" s="223"/>
      <c r="K373" s="240">
        <v>1250</v>
      </c>
      <c r="L373" s="240"/>
      <c r="M373" s="240"/>
      <c r="N373" s="239">
        <f t="shared" si="204"/>
        <v>1017.239</v>
      </c>
      <c r="O373" s="239"/>
      <c r="P373" s="239">
        <f t="shared" si="212"/>
        <v>1017.239</v>
      </c>
      <c r="Q373" s="239">
        <v>1017.239</v>
      </c>
      <c r="R373" s="239">
        <v>0</v>
      </c>
      <c r="S373" s="239">
        <v>0</v>
      </c>
      <c r="T373" s="492"/>
      <c r="U373" s="493"/>
      <c r="V373" s="240">
        <f t="shared" si="205"/>
        <v>0</v>
      </c>
      <c r="W373" s="240"/>
      <c r="X373" s="240"/>
      <c r="Y373" s="240">
        <v>1250000000</v>
      </c>
      <c r="Z373" s="241"/>
      <c r="AA373" s="241"/>
      <c r="AB373" s="241">
        <f t="shared" si="206"/>
        <v>1250000000</v>
      </c>
      <c r="AC373" s="242">
        <f t="shared" si="207"/>
        <v>1017239000</v>
      </c>
      <c r="AD373" s="259">
        <v>1017239000</v>
      </c>
      <c r="AE373" s="494"/>
      <c r="AF373" s="494"/>
      <c r="AG373" s="240"/>
      <c r="AH373" s="240">
        <f t="shared" si="208"/>
        <v>0</v>
      </c>
      <c r="AI373" s="240">
        <f t="shared" si="209"/>
        <v>0</v>
      </c>
      <c r="AJ373" s="240">
        <f t="shared" si="210"/>
        <v>0</v>
      </c>
      <c r="AK373" s="223"/>
      <c r="AL373" s="244"/>
      <c r="AM373" s="236">
        <f t="shared" si="211"/>
        <v>232761000</v>
      </c>
      <c r="AN373" s="472" t="s">
        <v>58</v>
      </c>
    </row>
    <row r="374" spans="1:40" s="321" customFormat="1" ht="19.5" customHeight="1">
      <c r="A374" s="230"/>
      <c r="B374" s="495" t="s">
        <v>82</v>
      </c>
      <c r="C374" s="232" t="s">
        <v>1260</v>
      </c>
      <c r="D374" s="456"/>
      <c r="E374" s="219"/>
      <c r="F374" s="220"/>
      <c r="G374" s="221"/>
      <c r="H374" s="221"/>
      <c r="I374" s="240">
        <f t="shared" si="213"/>
        <v>5100</v>
      </c>
      <c r="J374" s="223"/>
      <c r="K374" s="240">
        <v>5100</v>
      </c>
      <c r="L374" s="240"/>
      <c r="M374" s="240"/>
      <c r="N374" s="239">
        <f t="shared" si="204"/>
        <v>309.7602</v>
      </c>
      <c r="O374" s="239"/>
      <c r="P374" s="239">
        <f t="shared" si="212"/>
        <v>309.7602</v>
      </c>
      <c r="Q374" s="239">
        <v>309.7602</v>
      </c>
      <c r="R374" s="239">
        <v>0</v>
      </c>
      <c r="S374" s="239">
        <v>0</v>
      </c>
      <c r="T374" s="492"/>
      <c r="U374" s="493"/>
      <c r="V374" s="240">
        <f t="shared" si="205"/>
        <v>0</v>
      </c>
      <c r="W374" s="240"/>
      <c r="X374" s="240"/>
      <c r="Y374" s="240">
        <v>5100000000</v>
      </c>
      <c r="Z374" s="241"/>
      <c r="AA374" s="241"/>
      <c r="AB374" s="241">
        <f t="shared" si="206"/>
        <v>5100000000</v>
      </c>
      <c r="AC374" s="242">
        <f t="shared" si="207"/>
        <v>309760200</v>
      </c>
      <c r="AD374" s="259">
        <v>309760200</v>
      </c>
      <c r="AE374" s="494"/>
      <c r="AF374" s="494"/>
      <c r="AG374" s="240"/>
      <c r="AH374" s="240">
        <f t="shared" si="208"/>
        <v>1328983420</v>
      </c>
      <c r="AI374" s="240">
        <f t="shared" si="209"/>
        <v>1328983420</v>
      </c>
      <c r="AJ374" s="240">
        <f t="shared" si="210"/>
        <v>0</v>
      </c>
      <c r="AK374" s="341">
        <v>1328983420</v>
      </c>
      <c r="AL374" s="244"/>
      <c r="AM374" s="236">
        <f t="shared" si="211"/>
        <v>3461256380</v>
      </c>
      <c r="AN374" s="472" t="s">
        <v>58</v>
      </c>
    </row>
    <row r="375" spans="1:40" s="321" customFormat="1" ht="19.5" customHeight="1">
      <c r="A375" s="230"/>
      <c r="B375" s="495" t="s">
        <v>83</v>
      </c>
      <c r="C375" s="232" t="s">
        <v>1260</v>
      </c>
      <c r="D375" s="456"/>
      <c r="E375" s="219"/>
      <c r="F375" s="220"/>
      <c r="G375" s="221"/>
      <c r="H375" s="221"/>
      <c r="I375" s="240">
        <f t="shared" si="213"/>
        <v>1250</v>
      </c>
      <c r="J375" s="223"/>
      <c r="K375" s="240">
        <v>1250</v>
      </c>
      <c r="L375" s="240"/>
      <c r="M375" s="240"/>
      <c r="N375" s="239">
        <f t="shared" si="204"/>
        <v>367.619</v>
      </c>
      <c r="O375" s="239"/>
      <c r="P375" s="239">
        <f t="shared" si="212"/>
        <v>367.619</v>
      </c>
      <c r="Q375" s="239">
        <v>367.619</v>
      </c>
      <c r="R375" s="239">
        <v>0</v>
      </c>
      <c r="S375" s="239">
        <v>0</v>
      </c>
      <c r="T375" s="492"/>
      <c r="U375" s="493"/>
      <c r="V375" s="240">
        <f t="shared" si="205"/>
        <v>0</v>
      </c>
      <c r="W375" s="240"/>
      <c r="X375" s="240"/>
      <c r="Y375" s="240">
        <v>1250000000</v>
      </c>
      <c r="Z375" s="241"/>
      <c r="AA375" s="241"/>
      <c r="AB375" s="241">
        <f t="shared" si="206"/>
        <v>1250000000</v>
      </c>
      <c r="AC375" s="242">
        <f t="shared" si="207"/>
        <v>367619000</v>
      </c>
      <c r="AD375" s="259">
        <v>367619000</v>
      </c>
      <c r="AE375" s="494"/>
      <c r="AF375" s="494"/>
      <c r="AG375" s="240"/>
      <c r="AH375" s="240">
        <f t="shared" si="208"/>
        <v>200000000</v>
      </c>
      <c r="AI375" s="240">
        <f t="shared" si="209"/>
        <v>200000000</v>
      </c>
      <c r="AJ375" s="240">
        <f t="shared" si="210"/>
        <v>0</v>
      </c>
      <c r="AK375" s="341">
        <v>200000000</v>
      </c>
      <c r="AL375" s="244"/>
      <c r="AM375" s="236">
        <f t="shared" si="211"/>
        <v>682381000</v>
      </c>
      <c r="AN375" s="472" t="s">
        <v>58</v>
      </c>
    </row>
    <row r="376" spans="1:40" s="321" customFormat="1" ht="19.5" customHeight="1">
      <c r="A376" s="230"/>
      <c r="B376" s="495" t="s">
        <v>84</v>
      </c>
      <c r="C376" s="232" t="s">
        <v>1260</v>
      </c>
      <c r="D376" s="456"/>
      <c r="E376" s="219"/>
      <c r="F376" s="220"/>
      <c r="G376" s="221"/>
      <c r="H376" s="221"/>
      <c r="I376" s="240">
        <f t="shared" si="213"/>
        <v>7760</v>
      </c>
      <c r="J376" s="223"/>
      <c r="K376" s="240">
        <v>7760</v>
      </c>
      <c r="L376" s="240"/>
      <c r="M376" s="240"/>
      <c r="N376" s="239">
        <f t="shared" si="204"/>
        <v>1780.24</v>
      </c>
      <c r="O376" s="239"/>
      <c r="P376" s="239">
        <f t="shared" si="212"/>
        <v>1780.24</v>
      </c>
      <c r="Q376" s="239">
        <v>1780.24</v>
      </c>
      <c r="R376" s="239">
        <v>0</v>
      </c>
      <c r="S376" s="239">
        <v>0</v>
      </c>
      <c r="T376" s="492"/>
      <c r="U376" s="493"/>
      <c r="V376" s="240">
        <f t="shared" si="205"/>
        <v>0</v>
      </c>
      <c r="W376" s="240"/>
      <c r="X376" s="240"/>
      <c r="Y376" s="240">
        <v>7760000000</v>
      </c>
      <c r="Z376" s="241"/>
      <c r="AA376" s="241"/>
      <c r="AB376" s="241">
        <f t="shared" si="206"/>
        <v>7760000000</v>
      </c>
      <c r="AC376" s="242">
        <f t="shared" si="207"/>
        <v>1780240000</v>
      </c>
      <c r="AD376" s="259">
        <v>1780240000</v>
      </c>
      <c r="AE376" s="494"/>
      <c r="AF376" s="494"/>
      <c r="AG376" s="240"/>
      <c r="AH376" s="240">
        <f t="shared" si="208"/>
        <v>1856701000</v>
      </c>
      <c r="AI376" s="240">
        <f t="shared" si="209"/>
        <v>1856701000</v>
      </c>
      <c r="AJ376" s="240">
        <f t="shared" si="210"/>
        <v>0</v>
      </c>
      <c r="AK376" s="341">
        <v>1856701000</v>
      </c>
      <c r="AL376" s="244"/>
      <c r="AM376" s="236">
        <f t="shared" si="211"/>
        <v>4123059000</v>
      </c>
      <c r="AN376" s="472" t="s">
        <v>58</v>
      </c>
    </row>
    <row r="377" spans="1:40" s="321" customFormat="1" ht="19.5" customHeight="1">
      <c r="A377" s="230"/>
      <c r="B377" s="495" t="s">
        <v>85</v>
      </c>
      <c r="C377" s="232" t="s">
        <v>1260</v>
      </c>
      <c r="D377" s="456"/>
      <c r="E377" s="219"/>
      <c r="F377" s="220"/>
      <c r="G377" s="221"/>
      <c r="H377" s="221"/>
      <c r="I377" s="240">
        <f t="shared" si="213"/>
        <v>2700</v>
      </c>
      <c r="J377" s="223"/>
      <c r="K377" s="240">
        <v>2700</v>
      </c>
      <c r="L377" s="240"/>
      <c r="M377" s="240"/>
      <c r="N377" s="239">
        <f t="shared" si="204"/>
        <v>1685.494</v>
      </c>
      <c r="O377" s="239"/>
      <c r="P377" s="239">
        <f t="shared" si="212"/>
        <v>1685.494</v>
      </c>
      <c r="Q377" s="239">
        <v>1685.494</v>
      </c>
      <c r="R377" s="239">
        <v>0</v>
      </c>
      <c r="S377" s="239">
        <v>0</v>
      </c>
      <c r="T377" s="492"/>
      <c r="U377" s="493"/>
      <c r="V377" s="240">
        <f t="shared" si="205"/>
        <v>0</v>
      </c>
      <c r="W377" s="240"/>
      <c r="X377" s="240"/>
      <c r="Y377" s="240">
        <v>2700000000</v>
      </c>
      <c r="Z377" s="241"/>
      <c r="AA377" s="241"/>
      <c r="AB377" s="241">
        <f t="shared" si="206"/>
        <v>2700000000</v>
      </c>
      <c r="AC377" s="242">
        <f t="shared" si="207"/>
        <v>1685494000</v>
      </c>
      <c r="AD377" s="259">
        <v>1685494000</v>
      </c>
      <c r="AE377" s="494"/>
      <c r="AF377" s="494"/>
      <c r="AG377" s="240"/>
      <c r="AH377" s="240">
        <f t="shared" si="208"/>
        <v>302000000</v>
      </c>
      <c r="AI377" s="240">
        <f t="shared" si="209"/>
        <v>302000000</v>
      </c>
      <c r="AJ377" s="240">
        <f t="shared" si="210"/>
        <v>0</v>
      </c>
      <c r="AK377" s="341">
        <v>302000000</v>
      </c>
      <c r="AL377" s="244"/>
      <c r="AM377" s="236">
        <f t="shared" si="211"/>
        <v>712506000</v>
      </c>
      <c r="AN377" s="472" t="s">
        <v>58</v>
      </c>
    </row>
    <row r="378" spans="1:40" s="321" customFormat="1" ht="19.5" customHeight="1">
      <c r="A378" s="230"/>
      <c r="B378" s="495" t="s">
        <v>86</v>
      </c>
      <c r="C378" s="232" t="s">
        <v>1260</v>
      </c>
      <c r="D378" s="456"/>
      <c r="E378" s="219"/>
      <c r="F378" s="220"/>
      <c r="G378" s="221"/>
      <c r="H378" s="221"/>
      <c r="I378" s="240">
        <f t="shared" si="213"/>
        <v>1222</v>
      </c>
      <c r="J378" s="223"/>
      <c r="K378" s="240">
        <v>1222</v>
      </c>
      <c r="L378" s="240"/>
      <c r="M378" s="240"/>
      <c r="N378" s="239">
        <f t="shared" si="204"/>
        <v>131.364</v>
      </c>
      <c r="O378" s="239"/>
      <c r="P378" s="239">
        <f t="shared" si="212"/>
        <v>131.364</v>
      </c>
      <c r="Q378" s="239">
        <v>131.364</v>
      </c>
      <c r="R378" s="239">
        <v>0</v>
      </c>
      <c r="S378" s="239">
        <v>0</v>
      </c>
      <c r="T378" s="492"/>
      <c r="U378" s="493"/>
      <c r="V378" s="240">
        <f t="shared" si="205"/>
        <v>0</v>
      </c>
      <c r="W378" s="240"/>
      <c r="X378" s="240"/>
      <c r="Y378" s="240">
        <v>1222000000</v>
      </c>
      <c r="Z378" s="241"/>
      <c r="AA378" s="241"/>
      <c r="AB378" s="241">
        <f t="shared" si="206"/>
        <v>1222000000</v>
      </c>
      <c r="AC378" s="242">
        <f t="shared" si="207"/>
        <v>131364000</v>
      </c>
      <c r="AD378" s="259">
        <v>131364000</v>
      </c>
      <c r="AE378" s="494"/>
      <c r="AF378" s="494"/>
      <c r="AG378" s="240"/>
      <c r="AH378" s="240">
        <f t="shared" si="208"/>
        <v>0</v>
      </c>
      <c r="AI378" s="240">
        <f t="shared" si="209"/>
        <v>0</v>
      </c>
      <c r="AJ378" s="240">
        <f t="shared" si="210"/>
        <v>0</v>
      </c>
      <c r="AK378" s="223"/>
      <c r="AL378" s="244"/>
      <c r="AM378" s="236">
        <f t="shared" si="211"/>
        <v>1090636000</v>
      </c>
      <c r="AN378" s="472" t="s">
        <v>58</v>
      </c>
    </row>
    <row r="379" spans="1:40" s="321" customFormat="1" ht="19.5" customHeight="1">
      <c r="A379" s="230"/>
      <c r="B379" s="495" t="s">
        <v>87</v>
      </c>
      <c r="C379" s="232" t="s">
        <v>1260</v>
      </c>
      <c r="D379" s="456"/>
      <c r="E379" s="219"/>
      <c r="F379" s="220"/>
      <c r="G379" s="221"/>
      <c r="H379" s="221"/>
      <c r="I379" s="240">
        <f t="shared" si="213"/>
        <v>4434</v>
      </c>
      <c r="J379" s="223"/>
      <c r="K379" s="240">
        <v>4434</v>
      </c>
      <c r="L379" s="240"/>
      <c r="M379" s="240"/>
      <c r="N379" s="239">
        <f t="shared" si="204"/>
        <v>19.892</v>
      </c>
      <c r="O379" s="239"/>
      <c r="P379" s="239">
        <f t="shared" si="212"/>
        <v>19.892</v>
      </c>
      <c r="Q379" s="239">
        <v>19.892</v>
      </c>
      <c r="R379" s="239">
        <v>0</v>
      </c>
      <c r="S379" s="239">
        <v>0</v>
      </c>
      <c r="T379" s="492"/>
      <c r="U379" s="493"/>
      <c r="V379" s="240">
        <f t="shared" si="205"/>
        <v>0</v>
      </c>
      <c r="W379" s="240"/>
      <c r="X379" s="240"/>
      <c r="Y379" s="240">
        <v>4434000000</v>
      </c>
      <c r="Z379" s="241"/>
      <c r="AA379" s="241"/>
      <c r="AB379" s="241">
        <f t="shared" si="206"/>
        <v>4434000000</v>
      </c>
      <c r="AC379" s="242">
        <f t="shared" si="207"/>
        <v>19892000</v>
      </c>
      <c r="AD379" s="259">
        <v>19892000</v>
      </c>
      <c r="AE379" s="494"/>
      <c r="AF379" s="494"/>
      <c r="AG379" s="240"/>
      <c r="AH379" s="240">
        <f t="shared" si="208"/>
        <v>45000000</v>
      </c>
      <c r="AI379" s="240">
        <f t="shared" si="209"/>
        <v>45000000</v>
      </c>
      <c r="AJ379" s="240">
        <f t="shared" si="210"/>
        <v>0</v>
      </c>
      <c r="AK379" s="341">
        <v>45000000</v>
      </c>
      <c r="AL379" s="244"/>
      <c r="AM379" s="236">
        <f t="shared" si="211"/>
        <v>4369108000</v>
      </c>
      <c r="AN379" s="472" t="s">
        <v>58</v>
      </c>
    </row>
    <row r="380" spans="1:40" s="321" customFormat="1" ht="19.5" customHeight="1">
      <c r="A380" s="230"/>
      <c r="B380" s="495" t="s">
        <v>88</v>
      </c>
      <c r="C380" s="232" t="s">
        <v>1260</v>
      </c>
      <c r="D380" s="456"/>
      <c r="E380" s="219"/>
      <c r="F380" s="220"/>
      <c r="G380" s="221"/>
      <c r="H380" s="221"/>
      <c r="I380" s="240">
        <f t="shared" si="213"/>
        <v>2806</v>
      </c>
      <c r="J380" s="223"/>
      <c r="K380" s="240">
        <v>2806</v>
      </c>
      <c r="L380" s="240"/>
      <c r="M380" s="240"/>
      <c r="N380" s="239">
        <f t="shared" si="204"/>
        <v>184.123</v>
      </c>
      <c r="O380" s="239"/>
      <c r="P380" s="239">
        <f t="shared" si="212"/>
        <v>184.123</v>
      </c>
      <c r="Q380" s="239">
        <v>184.123</v>
      </c>
      <c r="R380" s="239">
        <v>0</v>
      </c>
      <c r="S380" s="239">
        <v>0</v>
      </c>
      <c r="T380" s="492"/>
      <c r="U380" s="493"/>
      <c r="V380" s="240">
        <f t="shared" si="205"/>
        <v>0</v>
      </c>
      <c r="W380" s="240"/>
      <c r="X380" s="240"/>
      <c r="Y380" s="240">
        <v>2806000000</v>
      </c>
      <c r="Z380" s="241"/>
      <c r="AA380" s="241"/>
      <c r="AB380" s="241">
        <f t="shared" si="206"/>
        <v>2806000000</v>
      </c>
      <c r="AC380" s="242">
        <f t="shared" si="207"/>
        <v>184123000</v>
      </c>
      <c r="AD380" s="259">
        <v>184123000</v>
      </c>
      <c r="AE380" s="494"/>
      <c r="AF380" s="494"/>
      <c r="AG380" s="240"/>
      <c r="AH380" s="240">
        <f t="shared" si="208"/>
        <v>900000000</v>
      </c>
      <c r="AI380" s="240">
        <f t="shared" si="209"/>
        <v>900000000</v>
      </c>
      <c r="AJ380" s="240">
        <f t="shared" si="210"/>
        <v>0</v>
      </c>
      <c r="AK380" s="341">
        <v>900000000</v>
      </c>
      <c r="AL380" s="244"/>
      <c r="AM380" s="236">
        <f t="shared" si="211"/>
        <v>1721877000</v>
      </c>
      <c r="AN380" s="472" t="s">
        <v>58</v>
      </c>
    </row>
    <row r="381" spans="1:40" s="321" customFormat="1" ht="19.5" customHeight="1">
      <c r="A381" s="230"/>
      <c r="B381" s="495" t="s">
        <v>89</v>
      </c>
      <c r="C381" s="232" t="s">
        <v>1260</v>
      </c>
      <c r="D381" s="456"/>
      <c r="E381" s="219"/>
      <c r="F381" s="220"/>
      <c r="G381" s="221"/>
      <c r="H381" s="221"/>
      <c r="I381" s="240">
        <f t="shared" si="213"/>
        <v>1200</v>
      </c>
      <c r="J381" s="223"/>
      <c r="K381" s="240">
        <v>1200</v>
      </c>
      <c r="L381" s="240"/>
      <c r="M381" s="240"/>
      <c r="N381" s="239">
        <f t="shared" si="204"/>
        <v>0</v>
      </c>
      <c r="O381" s="239"/>
      <c r="P381" s="239">
        <f t="shared" si="212"/>
        <v>0</v>
      </c>
      <c r="Q381" s="239">
        <v>0</v>
      </c>
      <c r="R381" s="239">
        <v>0</v>
      </c>
      <c r="S381" s="239">
        <v>0</v>
      </c>
      <c r="T381" s="492"/>
      <c r="U381" s="493"/>
      <c r="V381" s="240">
        <f t="shared" si="205"/>
        <v>0</v>
      </c>
      <c r="W381" s="240"/>
      <c r="X381" s="240"/>
      <c r="Y381" s="240">
        <v>1200000000</v>
      </c>
      <c r="Z381" s="241"/>
      <c r="AA381" s="241"/>
      <c r="AB381" s="241">
        <f t="shared" si="206"/>
        <v>1200000000</v>
      </c>
      <c r="AC381" s="242">
        <f t="shared" si="207"/>
        <v>0</v>
      </c>
      <c r="AD381" s="494"/>
      <c r="AE381" s="494"/>
      <c r="AF381" s="494"/>
      <c r="AG381" s="240"/>
      <c r="AH381" s="240">
        <f t="shared" si="208"/>
        <v>0</v>
      </c>
      <c r="AI381" s="240">
        <f t="shared" si="209"/>
        <v>0</v>
      </c>
      <c r="AJ381" s="240">
        <f t="shared" si="210"/>
        <v>0</v>
      </c>
      <c r="AK381" s="223"/>
      <c r="AL381" s="244"/>
      <c r="AM381" s="236">
        <f t="shared" si="211"/>
        <v>1200000000</v>
      </c>
      <c r="AN381" s="472" t="s">
        <v>58</v>
      </c>
    </row>
    <row r="382" spans="1:40" s="321" customFormat="1" ht="19.5" customHeight="1">
      <c r="A382" s="230"/>
      <c r="B382" s="495" t="s">
        <v>90</v>
      </c>
      <c r="C382" s="232" t="s">
        <v>1260</v>
      </c>
      <c r="D382" s="456"/>
      <c r="E382" s="219"/>
      <c r="F382" s="220"/>
      <c r="G382" s="221"/>
      <c r="H382" s="221"/>
      <c r="I382" s="240">
        <f t="shared" si="213"/>
        <v>1520</v>
      </c>
      <c r="J382" s="223"/>
      <c r="K382" s="240">
        <v>1520</v>
      </c>
      <c r="L382" s="240"/>
      <c r="M382" s="240"/>
      <c r="N382" s="239">
        <f t="shared" si="204"/>
        <v>1419.789</v>
      </c>
      <c r="O382" s="239"/>
      <c r="P382" s="239">
        <f t="shared" si="212"/>
        <v>1419.789</v>
      </c>
      <c r="Q382" s="239">
        <v>1419.789</v>
      </c>
      <c r="R382" s="239">
        <v>0</v>
      </c>
      <c r="S382" s="239">
        <v>0</v>
      </c>
      <c r="T382" s="492"/>
      <c r="U382" s="493"/>
      <c r="V382" s="240">
        <f t="shared" si="205"/>
        <v>0</v>
      </c>
      <c r="W382" s="240"/>
      <c r="X382" s="240"/>
      <c r="Y382" s="240">
        <v>1520000000</v>
      </c>
      <c r="Z382" s="241"/>
      <c r="AA382" s="241"/>
      <c r="AB382" s="241">
        <f t="shared" si="206"/>
        <v>1520000000</v>
      </c>
      <c r="AC382" s="242">
        <f t="shared" si="207"/>
        <v>1419789000</v>
      </c>
      <c r="AD382" s="259">
        <v>1419789000</v>
      </c>
      <c r="AE382" s="494"/>
      <c r="AF382" s="494"/>
      <c r="AG382" s="240"/>
      <c r="AH382" s="240">
        <f t="shared" si="208"/>
        <v>0</v>
      </c>
      <c r="AI382" s="240">
        <f t="shared" si="209"/>
        <v>0</v>
      </c>
      <c r="AJ382" s="240">
        <f t="shared" si="210"/>
        <v>0</v>
      </c>
      <c r="AK382" s="223"/>
      <c r="AL382" s="244"/>
      <c r="AM382" s="236">
        <f t="shared" si="211"/>
        <v>100211000</v>
      </c>
      <c r="AN382" s="472" t="s">
        <v>58</v>
      </c>
    </row>
    <row r="383" spans="1:40" s="321" customFormat="1" ht="19.5" customHeight="1">
      <c r="A383" s="230"/>
      <c r="B383" s="495" t="s">
        <v>91</v>
      </c>
      <c r="C383" s="232" t="s">
        <v>1260</v>
      </c>
      <c r="D383" s="456"/>
      <c r="E383" s="219"/>
      <c r="F383" s="220"/>
      <c r="G383" s="221"/>
      <c r="H383" s="221"/>
      <c r="I383" s="240">
        <f t="shared" si="213"/>
        <v>7277</v>
      </c>
      <c r="J383" s="223"/>
      <c r="K383" s="240">
        <v>7277</v>
      </c>
      <c r="L383" s="240"/>
      <c r="M383" s="240"/>
      <c r="N383" s="239">
        <f t="shared" si="204"/>
        <v>5155.389</v>
      </c>
      <c r="O383" s="248"/>
      <c r="P383" s="239">
        <f t="shared" si="212"/>
        <v>5155.389</v>
      </c>
      <c r="Q383" s="239">
        <v>5155.389</v>
      </c>
      <c r="R383" s="239">
        <v>0</v>
      </c>
      <c r="S383" s="239">
        <v>0</v>
      </c>
      <c r="T383" s="492"/>
      <c r="U383" s="493"/>
      <c r="V383" s="240">
        <f t="shared" si="205"/>
        <v>0</v>
      </c>
      <c r="W383" s="240"/>
      <c r="X383" s="240"/>
      <c r="Y383" s="240">
        <v>7277000000</v>
      </c>
      <c r="Z383" s="241"/>
      <c r="AA383" s="241"/>
      <c r="AB383" s="241">
        <f t="shared" si="206"/>
        <v>7277000000</v>
      </c>
      <c r="AC383" s="242">
        <f t="shared" si="207"/>
        <v>5155389000</v>
      </c>
      <c r="AD383" s="496">
        <v>5155389000</v>
      </c>
      <c r="AE383" s="494"/>
      <c r="AF383" s="494"/>
      <c r="AG383" s="240"/>
      <c r="AH383" s="240">
        <f t="shared" si="208"/>
        <v>80000000</v>
      </c>
      <c r="AI383" s="240">
        <f t="shared" si="209"/>
        <v>80000000</v>
      </c>
      <c r="AJ383" s="240">
        <f t="shared" si="210"/>
        <v>0</v>
      </c>
      <c r="AK383" s="497">
        <v>80000000</v>
      </c>
      <c r="AL383" s="244"/>
      <c r="AM383" s="236">
        <f t="shared" si="211"/>
        <v>2041611000</v>
      </c>
      <c r="AN383" s="472" t="s">
        <v>58</v>
      </c>
    </row>
    <row r="384" spans="1:40" s="321" customFormat="1" ht="19.5" customHeight="1">
      <c r="A384" s="230"/>
      <c r="B384" s="495" t="s">
        <v>92</v>
      </c>
      <c r="C384" s="232" t="s">
        <v>1260</v>
      </c>
      <c r="D384" s="456"/>
      <c r="E384" s="219"/>
      <c r="F384" s="220"/>
      <c r="G384" s="221"/>
      <c r="H384" s="221"/>
      <c r="I384" s="240">
        <f t="shared" si="213"/>
        <v>1655</v>
      </c>
      <c r="J384" s="223"/>
      <c r="K384" s="240">
        <v>1655</v>
      </c>
      <c r="L384" s="240"/>
      <c r="M384" s="240"/>
      <c r="N384" s="239">
        <f t="shared" si="204"/>
        <v>146.94</v>
      </c>
      <c r="O384" s="239"/>
      <c r="P384" s="239">
        <f t="shared" si="212"/>
        <v>146.94</v>
      </c>
      <c r="Q384" s="239">
        <v>146.94</v>
      </c>
      <c r="R384" s="239">
        <v>0</v>
      </c>
      <c r="S384" s="239">
        <v>0</v>
      </c>
      <c r="T384" s="492"/>
      <c r="U384" s="493"/>
      <c r="V384" s="240">
        <f t="shared" si="205"/>
        <v>0</v>
      </c>
      <c r="W384" s="240"/>
      <c r="X384" s="240"/>
      <c r="Y384" s="240">
        <v>1655000000</v>
      </c>
      <c r="Z384" s="241"/>
      <c r="AA384" s="241"/>
      <c r="AB384" s="241">
        <f t="shared" si="206"/>
        <v>1655000000</v>
      </c>
      <c r="AC384" s="242">
        <f t="shared" si="207"/>
        <v>146940000</v>
      </c>
      <c r="AD384" s="259">
        <v>146940000</v>
      </c>
      <c r="AE384" s="494"/>
      <c r="AF384" s="494"/>
      <c r="AG384" s="240"/>
      <c r="AH384" s="240">
        <f t="shared" si="208"/>
        <v>733118600</v>
      </c>
      <c r="AI384" s="240">
        <f t="shared" si="209"/>
        <v>733118600</v>
      </c>
      <c r="AJ384" s="240">
        <f t="shared" si="210"/>
        <v>0</v>
      </c>
      <c r="AK384" s="341">
        <v>733118600</v>
      </c>
      <c r="AL384" s="244"/>
      <c r="AM384" s="236">
        <f t="shared" si="211"/>
        <v>774941400</v>
      </c>
      <c r="AN384" s="472" t="s">
        <v>58</v>
      </c>
    </row>
    <row r="385" spans="1:40" s="321" customFormat="1" ht="19.5" customHeight="1">
      <c r="A385" s="230"/>
      <c r="B385" s="495" t="s">
        <v>93</v>
      </c>
      <c r="C385" s="232" t="s">
        <v>1260</v>
      </c>
      <c r="D385" s="456"/>
      <c r="E385" s="219"/>
      <c r="F385" s="220"/>
      <c r="G385" s="221"/>
      <c r="H385" s="221"/>
      <c r="I385" s="240">
        <f t="shared" si="213"/>
        <v>2340</v>
      </c>
      <c r="J385" s="223"/>
      <c r="K385" s="240">
        <v>2340</v>
      </c>
      <c r="L385" s="240"/>
      <c r="M385" s="240"/>
      <c r="N385" s="239"/>
      <c r="O385" s="239"/>
      <c r="P385" s="239"/>
      <c r="Q385" s="239"/>
      <c r="R385" s="239">
        <v>0</v>
      </c>
      <c r="S385" s="239">
        <v>0</v>
      </c>
      <c r="T385" s="492"/>
      <c r="U385" s="493"/>
      <c r="V385" s="240">
        <f t="shared" si="205"/>
        <v>0</v>
      </c>
      <c r="W385" s="240"/>
      <c r="X385" s="240"/>
      <c r="Y385" s="240">
        <v>2340000000</v>
      </c>
      <c r="Z385" s="241"/>
      <c r="AA385" s="241"/>
      <c r="AB385" s="241">
        <f t="shared" si="206"/>
        <v>2340000000</v>
      </c>
      <c r="AC385" s="242">
        <f t="shared" si="207"/>
        <v>0</v>
      </c>
      <c r="AD385" s="494"/>
      <c r="AE385" s="494"/>
      <c r="AF385" s="494"/>
      <c r="AG385" s="240"/>
      <c r="AH385" s="240">
        <f t="shared" si="208"/>
        <v>0</v>
      </c>
      <c r="AI385" s="240">
        <f t="shared" si="209"/>
        <v>0</v>
      </c>
      <c r="AJ385" s="240">
        <f t="shared" si="210"/>
        <v>0</v>
      </c>
      <c r="AK385" s="223"/>
      <c r="AL385" s="244"/>
      <c r="AM385" s="236">
        <f t="shared" si="211"/>
        <v>2340000000</v>
      </c>
      <c r="AN385" s="472" t="s">
        <v>94</v>
      </c>
    </row>
    <row r="386" spans="1:40" s="321" customFormat="1" ht="19.5" customHeight="1">
      <c r="A386" s="230"/>
      <c r="B386" s="495" t="s">
        <v>95</v>
      </c>
      <c r="C386" s="232" t="s">
        <v>1260</v>
      </c>
      <c r="D386" s="456"/>
      <c r="E386" s="219"/>
      <c r="F386" s="220"/>
      <c r="G386" s="221"/>
      <c r="H386" s="221"/>
      <c r="I386" s="240">
        <f t="shared" si="213"/>
        <v>1263</v>
      </c>
      <c r="J386" s="223"/>
      <c r="K386" s="240">
        <v>1263</v>
      </c>
      <c r="L386" s="240"/>
      <c r="M386" s="240"/>
      <c r="N386" s="239"/>
      <c r="O386" s="239"/>
      <c r="P386" s="239"/>
      <c r="Q386" s="239"/>
      <c r="R386" s="239">
        <v>0</v>
      </c>
      <c r="S386" s="239">
        <v>0</v>
      </c>
      <c r="T386" s="492"/>
      <c r="U386" s="493"/>
      <c r="V386" s="240">
        <f t="shared" si="205"/>
        <v>0</v>
      </c>
      <c r="W386" s="240"/>
      <c r="X386" s="240"/>
      <c r="Y386" s="240">
        <v>1263000000</v>
      </c>
      <c r="Z386" s="241"/>
      <c r="AA386" s="241"/>
      <c r="AB386" s="241">
        <f t="shared" si="206"/>
        <v>1263000000</v>
      </c>
      <c r="AC386" s="242">
        <f t="shared" si="207"/>
        <v>0</v>
      </c>
      <c r="AD386" s="494"/>
      <c r="AE386" s="494"/>
      <c r="AF386" s="494"/>
      <c r="AG386" s="240"/>
      <c r="AH386" s="240">
        <f t="shared" si="208"/>
        <v>0</v>
      </c>
      <c r="AI386" s="240">
        <f t="shared" si="209"/>
        <v>0</v>
      </c>
      <c r="AJ386" s="240">
        <f t="shared" si="210"/>
        <v>0</v>
      </c>
      <c r="AK386" s="223"/>
      <c r="AL386" s="244"/>
      <c r="AM386" s="236">
        <f t="shared" si="211"/>
        <v>1263000000</v>
      </c>
      <c r="AN386" s="472" t="s">
        <v>94</v>
      </c>
    </row>
    <row r="387" spans="1:40" s="321" customFormat="1" ht="19.5" customHeight="1">
      <c r="A387" s="230"/>
      <c r="B387" s="495" t="s">
        <v>96</v>
      </c>
      <c r="C387" s="232" t="s">
        <v>1260</v>
      </c>
      <c r="D387" s="456"/>
      <c r="E387" s="219"/>
      <c r="F387" s="220"/>
      <c r="G387" s="221"/>
      <c r="H387" s="221"/>
      <c r="I387" s="240">
        <f t="shared" si="213"/>
        <v>1150</v>
      </c>
      <c r="J387" s="223"/>
      <c r="K387" s="240">
        <v>1150</v>
      </c>
      <c r="L387" s="240"/>
      <c r="M387" s="240"/>
      <c r="N387" s="239"/>
      <c r="O387" s="239"/>
      <c r="P387" s="239"/>
      <c r="Q387" s="239"/>
      <c r="R387" s="239">
        <v>0</v>
      </c>
      <c r="S387" s="239">
        <v>0</v>
      </c>
      <c r="T387" s="492"/>
      <c r="U387" s="493"/>
      <c r="V387" s="240">
        <f t="shared" si="205"/>
        <v>0</v>
      </c>
      <c r="W387" s="240"/>
      <c r="X387" s="240"/>
      <c r="Y387" s="240">
        <v>1150000000</v>
      </c>
      <c r="Z387" s="241"/>
      <c r="AA387" s="241"/>
      <c r="AB387" s="241">
        <f t="shared" si="206"/>
        <v>1150000000</v>
      </c>
      <c r="AC387" s="242">
        <f t="shared" si="207"/>
        <v>0</v>
      </c>
      <c r="AD387" s="494"/>
      <c r="AE387" s="494"/>
      <c r="AF387" s="494"/>
      <c r="AG387" s="240"/>
      <c r="AH387" s="240">
        <f t="shared" si="208"/>
        <v>0</v>
      </c>
      <c r="AI387" s="240">
        <f t="shared" si="209"/>
        <v>0</v>
      </c>
      <c r="AJ387" s="240">
        <f t="shared" si="210"/>
        <v>0</v>
      </c>
      <c r="AK387" s="223"/>
      <c r="AL387" s="244"/>
      <c r="AM387" s="236">
        <f t="shared" si="211"/>
        <v>1150000000</v>
      </c>
      <c r="AN387" s="472" t="s">
        <v>94</v>
      </c>
    </row>
    <row r="388" spans="1:40" s="321" customFormat="1" ht="19.5" customHeight="1">
      <c r="A388" s="230"/>
      <c r="B388" s="495" t="s">
        <v>97</v>
      </c>
      <c r="C388" s="232" t="s">
        <v>1260</v>
      </c>
      <c r="D388" s="456"/>
      <c r="E388" s="219"/>
      <c r="F388" s="220"/>
      <c r="G388" s="221"/>
      <c r="H388" s="221"/>
      <c r="I388" s="240">
        <f t="shared" si="213"/>
        <v>3010</v>
      </c>
      <c r="J388" s="223"/>
      <c r="K388" s="240">
        <v>3010</v>
      </c>
      <c r="L388" s="240"/>
      <c r="M388" s="240"/>
      <c r="N388" s="239">
        <f t="shared" si="204"/>
        <v>154.706</v>
      </c>
      <c r="O388" s="248"/>
      <c r="P388" s="239">
        <f t="shared" si="212"/>
        <v>154.706</v>
      </c>
      <c r="Q388" s="239">
        <v>154.706</v>
      </c>
      <c r="R388" s="239">
        <v>0</v>
      </c>
      <c r="S388" s="239">
        <v>0</v>
      </c>
      <c r="T388" s="492"/>
      <c r="U388" s="493"/>
      <c r="V388" s="240">
        <f t="shared" si="205"/>
        <v>0</v>
      </c>
      <c r="W388" s="240"/>
      <c r="X388" s="240"/>
      <c r="Y388" s="240">
        <v>3010000000</v>
      </c>
      <c r="Z388" s="241"/>
      <c r="AA388" s="241"/>
      <c r="AB388" s="241">
        <f t="shared" si="206"/>
        <v>3010000000</v>
      </c>
      <c r="AC388" s="242">
        <f t="shared" si="207"/>
        <v>154706000</v>
      </c>
      <c r="AD388" s="496">
        <v>154706000</v>
      </c>
      <c r="AE388" s="494"/>
      <c r="AF388" s="494"/>
      <c r="AG388" s="240"/>
      <c r="AH388" s="240">
        <f t="shared" si="208"/>
        <v>900000000</v>
      </c>
      <c r="AI388" s="240">
        <f t="shared" si="209"/>
        <v>900000000</v>
      </c>
      <c r="AJ388" s="240">
        <f t="shared" si="210"/>
        <v>0</v>
      </c>
      <c r="AK388" s="497">
        <v>900000000</v>
      </c>
      <c r="AL388" s="244"/>
      <c r="AM388" s="236">
        <f t="shared" si="211"/>
        <v>1955294000</v>
      </c>
      <c r="AN388" s="472" t="s">
        <v>94</v>
      </c>
    </row>
    <row r="389" spans="1:40" s="321" customFormat="1" ht="19.5" customHeight="1">
      <c r="A389" s="230"/>
      <c r="B389" s="495" t="s">
        <v>98</v>
      </c>
      <c r="C389" s="232" t="s">
        <v>1260</v>
      </c>
      <c r="D389" s="456"/>
      <c r="E389" s="219"/>
      <c r="F389" s="220"/>
      <c r="G389" s="221"/>
      <c r="H389" s="221"/>
      <c r="I389" s="240">
        <f t="shared" si="213"/>
        <v>2519</v>
      </c>
      <c r="J389" s="223"/>
      <c r="K389" s="240">
        <v>2519</v>
      </c>
      <c r="L389" s="240"/>
      <c r="M389" s="240"/>
      <c r="N389" s="239">
        <f t="shared" si="204"/>
        <v>123.516</v>
      </c>
      <c r="O389" s="248"/>
      <c r="P389" s="239">
        <f t="shared" si="212"/>
        <v>123.516</v>
      </c>
      <c r="Q389" s="239">
        <v>123.516</v>
      </c>
      <c r="R389" s="239">
        <v>0</v>
      </c>
      <c r="S389" s="239">
        <v>0</v>
      </c>
      <c r="T389" s="492"/>
      <c r="U389" s="493"/>
      <c r="V389" s="240">
        <f t="shared" si="205"/>
        <v>0</v>
      </c>
      <c r="W389" s="240"/>
      <c r="X389" s="240"/>
      <c r="Y389" s="240">
        <v>2519000000</v>
      </c>
      <c r="Z389" s="241"/>
      <c r="AA389" s="241"/>
      <c r="AB389" s="241">
        <f t="shared" si="206"/>
        <v>2519000000</v>
      </c>
      <c r="AC389" s="242">
        <f t="shared" si="207"/>
        <v>123516000</v>
      </c>
      <c r="AD389" s="496">
        <v>123516000</v>
      </c>
      <c r="AE389" s="494"/>
      <c r="AF389" s="494"/>
      <c r="AG389" s="240"/>
      <c r="AH389" s="240">
        <f t="shared" si="208"/>
        <v>900000000</v>
      </c>
      <c r="AI389" s="240">
        <f t="shared" si="209"/>
        <v>900000000</v>
      </c>
      <c r="AJ389" s="240">
        <f t="shared" si="210"/>
        <v>0</v>
      </c>
      <c r="AK389" s="497">
        <v>900000000</v>
      </c>
      <c r="AL389" s="244"/>
      <c r="AM389" s="236">
        <f t="shared" si="211"/>
        <v>1495484000</v>
      </c>
      <c r="AN389" s="472" t="s">
        <v>94</v>
      </c>
    </row>
    <row r="390" spans="1:40" s="321" customFormat="1" ht="19.5" customHeight="1">
      <c r="A390" s="230"/>
      <c r="B390" s="495" t="s">
        <v>99</v>
      </c>
      <c r="C390" s="232" t="s">
        <v>1260</v>
      </c>
      <c r="D390" s="456"/>
      <c r="E390" s="219"/>
      <c r="F390" s="220"/>
      <c r="G390" s="221"/>
      <c r="H390" s="221"/>
      <c r="I390" s="240">
        <f t="shared" si="213"/>
        <v>5300</v>
      </c>
      <c r="J390" s="223"/>
      <c r="K390" s="240">
        <v>5300</v>
      </c>
      <c r="L390" s="240"/>
      <c r="M390" s="240"/>
      <c r="N390" s="239">
        <f t="shared" si="204"/>
        <v>277.559376</v>
      </c>
      <c r="O390" s="248"/>
      <c r="P390" s="239">
        <f t="shared" si="212"/>
        <v>277.559376</v>
      </c>
      <c r="Q390" s="239">
        <v>277.559376</v>
      </c>
      <c r="R390" s="239">
        <v>0</v>
      </c>
      <c r="S390" s="239">
        <v>0</v>
      </c>
      <c r="T390" s="492"/>
      <c r="U390" s="493"/>
      <c r="V390" s="240">
        <f t="shared" si="205"/>
        <v>0</v>
      </c>
      <c r="W390" s="240"/>
      <c r="X390" s="240"/>
      <c r="Y390" s="240">
        <v>5300000000</v>
      </c>
      <c r="Z390" s="241"/>
      <c r="AA390" s="241"/>
      <c r="AB390" s="241">
        <f t="shared" si="206"/>
        <v>5300000000</v>
      </c>
      <c r="AC390" s="242">
        <f t="shared" si="207"/>
        <v>277559376</v>
      </c>
      <c r="AD390" s="496">
        <v>277559376</v>
      </c>
      <c r="AE390" s="494"/>
      <c r="AF390" s="494"/>
      <c r="AG390" s="240"/>
      <c r="AH390" s="240">
        <f t="shared" si="208"/>
        <v>900000000</v>
      </c>
      <c r="AI390" s="240">
        <f t="shared" si="209"/>
        <v>900000000</v>
      </c>
      <c r="AJ390" s="240">
        <f t="shared" si="210"/>
        <v>0</v>
      </c>
      <c r="AK390" s="497">
        <v>900000000</v>
      </c>
      <c r="AL390" s="244"/>
      <c r="AM390" s="236">
        <f t="shared" si="211"/>
        <v>4122440624</v>
      </c>
      <c r="AN390" s="472" t="s">
        <v>94</v>
      </c>
    </row>
    <row r="391" spans="1:40" s="321" customFormat="1" ht="19.5" customHeight="1">
      <c r="A391" s="230"/>
      <c r="B391" s="495" t="s">
        <v>100</v>
      </c>
      <c r="C391" s="232" t="s">
        <v>1260</v>
      </c>
      <c r="D391" s="456"/>
      <c r="E391" s="219"/>
      <c r="F391" s="220"/>
      <c r="G391" s="221"/>
      <c r="H391" s="221"/>
      <c r="I391" s="240">
        <f t="shared" si="213"/>
        <v>4900</v>
      </c>
      <c r="J391" s="223"/>
      <c r="K391" s="240">
        <v>4900</v>
      </c>
      <c r="L391" s="240"/>
      <c r="M391" s="240"/>
      <c r="N391" s="239">
        <f t="shared" si="204"/>
        <v>300.759659</v>
      </c>
      <c r="O391" s="248"/>
      <c r="P391" s="239">
        <f t="shared" si="212"/>
        <v>300.759659</v>
      </c>
      <c r="Q391" s="239">
        <v>300.759659</v>
      </c>
      <c r="R391" s="239">
        <v>0</v>
      </c>
      <c r="S391" s="239">
        <v>0</v>
      </c>
      <c r="T391" s="492"/>
      <c r="U391" s="493"/>
      <c r="V391" s="240">
        <f t="shared" si="205"/>
        <v>0</v>
      </c>
      <c r="W391" s="240"/>
      <c r="X391" s="240"/>
      <c r="Y391" s="240">
        <v>4900000000</v>
      </c>
      <c r="Z391" s="241"/>
      <c r="AA391" s="241"/>
      <c r="AB391" s="241">
        <f t="shared" si="206"/>
        <v>4900000000</v>
      </c>
      <c r="AC391" s="242">
        <f t="shared" si="207"/>
        <v>300759659</v>
      </c>
      <c r="AD391" s="496">
        <v>300759659</v>
      </c>
      <c r="AE391" s="494"/>
      <c r="AF391" s="494"/>
      <c r="AG391" s="240"/>
      <c r="AH391" s="240">
        <f t="shared" si="208"/>
        <v>900000000</v>
      </c>
      <c r="AI391" s="240">
        <f t="shared" si="209"/>
        <v>900000000</v>
      </c>
      <c r="AJ391" s="240">
        <f t="shared" si="210"/>
        <v>0</v>
      </c>
      <c r="AK391" s="497">
        <v>900000000</v>
      </c>
      <c r="AL391" s="244"/>
      <c r="AM391" s="236">
        <f t="shared" si="211"/>
        <v>3699240341</v>
      </c>
      <c r="AN391" s="472" t="s">
        <v>94</v>
      </c>
    </row>
    <row r="392" spans="1:40" s="321" customFormat="1" ht="19.5" customHeight="1">
      <c r="A392" s="230"/>
      <c r="B392" s="495" t="s">
        <v>101</v>
      </c>
      <c r="C392" s="232" t="s">
        <v>1260</v>
      </c>
      <c r="D392" s="456"/>
      <c r="E392" s="219"/>
      <c r="F392" s="220"/>
      <c r="G392" s="221"/>
      <c r="H392" s="221"/>
      <c r="I392" s="240">
        <f t="shared" si="213"/>
        <v>1900</v>
      </c>
      <c r="J392" s="223"/>
      <c r="K392" s="240">
        <v>1900</v>
      </c>
      <c r="L392" s="240"/>
      <c r="M392" s="240"/>
      <c r="N392" s="239"/>
      <c r="O392" s="239"/>
      <c r="P392" s="239"/>
      <c r="Q392" s="239"/>
      <c r="R392" s="239">
        <v>0</v>
      </c>
      <c r="S392" s="239">
        <v>0</v>
      </c>
      <c r="T392" s="492"/>
      <c r="U392" s="493"/>
      <c r="V392" s="240">
        <f t="shared" si="205"/>
        <v>0</v>
      </c>
      <c r="W392" s="240"/>
      <c r="X392" s="240"/>
      <c r="Y392" s="240">
        <v>1900000000</v>
      </c>
      <c r="Z392" s="241"/>
      <c r="AA392" s="241"/>
      <c r="AB392" s="241">
        <f t="shared" si="206"/>
        <v>1900000000</v>
      </c>
      <c r="AC392" s="242">
        <f t="shared" si="207"/>
        <v>0</v>
      </c>
      <c r="AD392" s="494"/>
      <c r="AE392" s="494"/>
      <c r="AF392" s="494"/>
      <c r="AG392" s="240"/>
      <c r="AH392" s="240">
        <f t="shared" si="208"/>
        <v>0</v>
      </c>
      <c r="AI392" s="240">
        <f t="shared" si="209"/>
        <v>0</v>
      </c>
      <c r="AJ392" s="240">
        <f t="shared" si="210"/>
        <v>0</v>
      </c>
      <c r="AK392" s="223"/>
      <c r="AL392" s="244"/>
      <c r="AM392" s="236">
        <f t="shared" si="211"/>
        <v>1900000000</v>
      </c>
      <c r="AN392" s="472" t="s">
        <v>94</v>
      </c>
    </row>
    <row r="393" spans="1:40" s="321" customFormat="1" ht="19.5" customHeight="1">
      <c r="A393" s="230"/>
      <c r="B393" s="495" t="s">
        <v>102</v>
      </c>
      <c r="C393" s="232" t="s">
        <v>1260</v>
      </c>
      <c r="D393" s="456"/>
      <c r="E393" s="219"/>
      <c r="F393" s="220"/>
      <c r="G393" s="221"/>
      <c r="H393" s="221"/>
      <c r="I393" s="240">
        <f t="shared" si="213"/>
        <v>43000</v>
      </c>
      <c r="J393" s="223"/>
      <c r="K393" s="240">
        <v>43000</v>
      </c>
      <c r="L393" s="240"/>
      <c r="M393" s="240"/>
      <c r="N393" s="239">
        <f t="shared" si="204"/>
        <v>9842.126</v>
      </c>
      <c r="O393" s="239"/>
      <c r="P393" s="239">
        <f t="shared" si="212"/>
        <v>9842.126</v>
      </c>
      <c r="Q393" s="239">
        <v>9842.126</v>
      </c>
      <c r="R393" s="239">
        <v>0</v>
      </c>
      <c r="S393" s="239">
        <v>0</v>
      </c>
      <c r="T393" s="492"/>
      <c r="U393" s="493"/>
      <c r="V393" s="240">
        <f t="shared" si="205"/>
        <v>0</v>
      </c>
      <c r="W393" s="240"/>
      <c r="X393" s="240"/>
      <c r="Y393" s="240">
        <v>43000000000</v>
      </c>
      <c r="Z393" s="241"/>
      <c r="AA393" s="241"/>
      <c r="AB393" s="241">
        <f t="shared" si="206"/>
        <v>43000000000</v>
      </c>
      <c r="AC393" s="242">
        <f t="shared" si="207"/>
        <v>9842126000</v>
      </c>
      <c r="AD393" s="259">
        <v>9842126000</v>
      </c>
      <c r="AE393" s="494"/>
      <c r="AF393" s="494"/>
      <c r="AG393" s="240"/>
      <c r="AH393" s="240">
        <f t="shared" si="208"/>
        <v>10802081000</v>
      </c>
      <c r="AI393" s="240">
        <f t="shared" si="209"/>
        <v>10802081000</v>
      </c>
      <c r="AJ393" s="240">
        <f t="shared" si="210"/>
        <v>0</v>
      </c>
      <c r="AK393" s="341">
        <v>10802081000</v>
      </c>
      <c r="AL393" s="244"/>
      <c r="AM393" s="236">
        <f t="shared" si="211"/>
        <v>22355793000</v>
      </c>
      <c r="AN393" s="472" t="s">
        <v>94</v>
      </c>
    </row>
    <row r="394" spans="1:40" s="321" customFormat="1" ht="19.5" customHeight="1">
      <c r="A394" s="230"/>
      <c r="B394" s="495" t="s">
        <v>103</v>
      </c>
      <c r="C394" s="232" t="s">
        <v>1260</v>
      </c>
      <c r="D394" s="456"/>
      <c r="E394" s="219"/>
      <c r="F394" s="220"/>
      <c r="G394" s="221"/>
      <c r="H394" s="221"/>
      <c r="I394" s="240">
        <f t="shared" si="213"/>
        <v>2060</v>
      </c>
      <c r="J394" s="223"/>
      <c r="K394" s="240">
        <v>2060</v>
      </c>
      <c r="L394" s="240"/>
      <c r="M394" s="240"/>
      <c r="N394" s="239">
        <f t="shared" si="204"/>
        <v>5.65</v>
      </c>
      <c r="O394" s="239"/>
      <c r="P394" s="239">
        <f t="shared" si="212"/>
        <v>5.65</v>
      </c>
      <c r="Q394" s="239">
        <v>5.65</v>
      </c>
      <c r="R394" s="239">
        <v>0</v>
      </c>
      <c r="S394" s="239">
        <v>0</v>
      </c>
      <c r="T394" s="492"/>
      <c r="U394" s="493"/>
      <c r="V394" s="240">
        <f t="shared" si="205"/>
        <v>0</v>
      </c>
      <c r="W394" s="240"/>
      <c r="X394" s="240"/>
      <c r="Y394" s="240">
        <v>2060000000</v>
      </c>
      <c r="Z394" s="241"/>
      <c r="AA394" s="241"/>
      <c r="AB394" s="241">
        <f t="shared" si="206"/>
        <v>2060000000</v>
      </c>
      <c r="AC394" s="242">
        <f t="shared" si="207"/>
        <v>5650000</v>
      </c>
      <c r="AD394" s="259">
        <v>5650000</v>
      </c>
      <c r="AE394" s="494"/>
      <c r="AF394" s="494"/>
      <c r="AG394" s="240"/>
      <c r="AH394" s="240">
        <f t="shared" si="208"/>
        <v>871000000</v>
      </c>
      <c r="AI394" s="240">
        <f t="shared" si="209"/>
        <v>871000000</v>
      </c>
      <c r="AJ394" s="240">
        <f t="shared" si="210"/>
        <v>0</v>
      </c>
      <c r="AK394" s="341">
        <v>871000000</v>
      </c>
      <c r="AL394" s="244"/>
      <c r="AM394" s="236">
        <f t="shared" si="211"/>
        <v>1183350000</v>
      </c>
      <c r="AN394" s="472" t="s">
        <v>94</v>
      </c>
    </row>
    <row r="395" spans="1:40" s="321" customFormat="1" ht="19.5" customHeight="1">
      <c r="A395" s="230"/>
      <c r="B395" s="495" t="s">
        <v>104</v>
      </c>
      <c r="C395" s="232" t="s">
        <v>1260</v>
      </c>
      <c r="D395" s="456"/>
      <c r="E395" s="219"/>
      <c r="F395" s="220"/>
      <c r="G395" s="221"/>
      <c r="H395" s="221"/>
      <c r="I395" s="240">
        <f t="shared" si="213"/>
        <v>5600</v>
      </c>
      <c r="J395" s="223"/>
      <c r="K395" s="240">
        <v>5600</v>
      </c>
      <c r="L395" s="240"/>
      <c r="M395" s="240"/>
      <c r="N395" s="239">
        <f t="shared" si="204"/>
        <v>193.037</v>
      </c>
      <c r="O395" s="239"/>
      <c r="P395" s="239">
        <f t="shared" si="212"/>
        <v>193.037</v>
      </c>
      <c r="Q395" s="239">
        <v>193.037</v>
      </c>
      <c r="R395" s="239">
        <v>0</v>
      </c>
      <c r="S395" s="239">
        <v>0</v>
      </c>
      <c r="T395" s="492"/>
      <c r="U395" s="493"/>
      <c r="V395" s="240">
        <f t="shared" si="205"/>
        <v>0</v>
      </c>
      <c r="W395" s="240"/>
      <c r="X395" s="240"/>
      <c r="Y395" s="240">
        <v>5600000000</v>
      </c>
      <c r="Z395" s="241"/>
      <c r="AA395" s="241"/>
      <c r="AB395" s="241">
        <f t="shared" si="206"/>
        <v>5600000000</v>
      </c>
      <c r="AC395" s="242">
        <f t="shared" si="207"/>
        <v>193037000</v>
      </c>
      <c r="AD395" s="259">
        <v>193037000</v>
      </c>
      <c r="AE395" s="494"/>
      <c r="AF395" s="494"/>
      <c r="AG395" s="240"/>
      <c r="AH395" s="240">
        <f t="shared" si="208"/>
        <v>1008000000</v>
      </c>
      <c r="AI395" s="240">
        <f t="shared" si="209"/>
        <v>1008000000</v>
      </c>
      <c r="AJ395" s="240">
        <f t="shared" si="210"/>
        <v>0</v>
      </c>
      <c r="AK395" s="341">
        <v>1008000000</v>
      </c>
      <c r="AL395" s="244"/>
      <c r="AM395" s="236">
        <f t="shared" si="211"/>
        <v>4398963000</v>
      </c>
      <c r="AN395" s="472" t="s">
        <v>94</v>
      </c>
    </row>
    <row r="396" spans="1:40" s="321" customFormat="1" ht="19.5" customHeight="1">
      <c r="A396" s="230"/>
      <c r="B396" s="495" t="s">
        <v>105</v>
      </c>
      <c r="C396" s="232" t="s">
        <v>1260</v>
      </c>
      <c r="D396" s="456"/>
      <c r="E396" s="219"/>
      <c r="F396" s="220"/>
      <c r="G396" s="221"/>
      <c r="H396" s="221"/>
      <c r="I396" s="240">
        <f t="shared" si="213"/>
        <v>2000</v>
      </c>
      <c r="J396" s="223"/>
      <c r="K396" s="240">
        <v>2000</v>
      </c>
      <c r="L396" s="240"/>
      <c r="M396" s="240"/>
      <c r="N396" s="239">
        <f t="shared" si="204"/>
        <v>125.995958</v>
      </c>
      <c r="O396" s="239"/>
      <c r="P396" s="239">
        <f t="shared" si="212"/>
        <v>125.995958</v>
      </c>
      <c r="Q396" s="239">
        <v>125.995958</v>
      </c>
      <c r="R396" s="239">
        <v>0</v>
      </c>
      <c r="S396" s="239">
        <v>0</v>
      </c>
      <c r="T396" s="492"/>
      <c r="U396" s="493"/>
      <c r="V396" s="240">
        <f t="shared" si="205"/>
        <v>0</v>
      </c>
      <c r="W396" s="240"/>
      <c r="X396" s="240"/>
      <c r="Y396" s="240">
        <v>2000000000</v>
      </c>
      <c r="Z396" s="241"/>
      <c r="AA396" s="241"/>
      <c r="AB396" s="241">
        <f t="shared" si="206"/>
        <v>2000000000</v>
      </c>
      <c r="AC396" s="242">
        <f t="shared" si="207"/>
        <v>125995958</v>
      </c>
      <c r="AD396" s="259">
        <v>125995958</v>
      </c>
      <c r="AE396" s="494"/>
      <c r="AF396" s="494"/>
      <c r="AG396" s="240"/>
      <c r="AH396" s="240">
        <f t="shared" si="208"/>
        <v>750000000</v>
      </c>
      <c r="AI396" s="240">
        <f t="shared" si="209"/>
        <v>750000000</v>
      </c>
      <c r="AJ396" s="240">
        <f t="shared" si="210"/>
        <v>0</v>
      </c>
      <c r="AK396" s="341">
        <v>750000000</v>
      </c>
      <c r="AL396" s="244"/>
      <c r="AM396" s="236">
        <f t="shared" si="211"/>
        <v>1124004042</v>
      </c>
      <c r="AN396" s="472" t="s">
        <v>94</v>
      </c>
    </row>
    <row r="397" spans="1:40" s="321" customFormat="1" ht="19.5" customHeight="1">
      <c r="A397" s="230"/>
      <c r="B397" s="495" t="s">
        <v>106</v>
      </c>
      <c r="C397" s="232" t="s">
        <v>1260</v>
      </c>
      <c r="D397" s="456"/>
      <c r="E397" s="219"/>
      <c r="F397" s="220"/>
      <c r="G397" s="221"/>
      <c r="H397" s="221"/>
      <c r="I397" s="240">
        <f t="shared" si="213"/>
        <v>1550</v>
      </c>
      <c r="J397" s="223"/>
      <c r="K397" s="240">
        <v>1550</v>
      </c>
      <c r="L397" s="240"/>
      <c r="M397" s="240"/>
      <c r="N397" s="239">
        <f t="shared" si="204"/>
        <v>0</v>
      </c>
      <c r="O397" s="239"/>
      <c r="P397" s="239">
        <f t="shared" si="212"/>
        <v>0</v>
      </c>
      <c r="Q397" s="239">
        <v>0</v>
      </c>
      <c r="R397" s="239">
        <v>0</v>
      </c>
      <c r="S397" s="239">
        <v>0</v>
      </c>
      <c r="T397" s="492"/>
      <c r="U397" s="493"/>
      <c r="V397" s="240">
        <f t="shared" si="205"/>
        <v>0</v>
      </c>
      <c r="W397" s="240"/>
      <c r="X397" s="240"/>
      <c r="Y397" s="240">
        <v>1550000000</v>
      </c>
      <c r="Z397" s="241"/>
      <c r="AA397" s="241"/>
      <c r="AB397" s="241">
        <f t="shared" si="206"/>
        <v>1550000000</v>
      </c>
      <c r="AC397" s="242">
        <f t="shared" si="207"/>
        <v>0</v>
      </c>
      <c r="AD397" s="494"/>
      <c r="AE397" s="494"/>
      <c r="AF397" s="494"/>
      <c r="AG397" s="240"/>
      <c r="AH397" s="240">
        <f t="shared" si="208"/>
        <v>400000000</v>
      </c>
      <c r="AI397" s="240">
        <f t="shared" si="209"/>
        <v>400000000</v>
      </c>
      <c r="AJ397" s="240">
        <f t="shared" si="210"/>
        <v>0</v>
      </c>
      <c r="AK397" s="341">
        <v>400000000</v>
      </c>
      <c r="AL397" s="244"/>
      <c r="AM397" s="236">
        <f t="shared" si="211"/>
        <v>1150000000</v>
      </c>
      <c r="AN397" s="472" t="s">
        <v>94</v>
      </c>
    </row>
    <row r="398" spans="1:40" s="321" customFormat="1" ht="19.5" customHeight="1">
      <c r="A398" s="230"/>
      <c r="B398" s="495" t="s">
        <v>107</v>
      </c>
      <c r="C398" s="232" t="s">
        <v>1260</v>
      </c>
      <c r="D398" s="456"/>
      <c r="E398" s="219"/>
      <c r="F398" s="220"/>
      <c r="G398" s="221"/>
      <c r="H398" s="221"/>
      <c r="I398" s="240">
        <f t="shared" si="213"/>
        <v>1560</v>
      </c>
      <c r="J398" s="223"/>
      <c r="K398" s="240">
        <v>1560</v>
      </c>
      <c r="L398" s="240"/>
      <c r="M398" s="240"/>
      <c r="N398" s="239">
        <f t="shared" si="204"/>
        <v>47.588</v>
      </c>
      <c r="O398" s="239"/>
      <c r="P398" s="239">
        <f t="shared" si="212"/>
        <v>47.588</v>
      </c>
      <c r="Q398" s="239">
        <v>47.588</v>
      </c>
      <c r="R398" s="239">
        <v>0</v>
      </c>
      <c r="S398" s="239">
        <v>0</v>
      </c>
      <c r="T398" s="492"/>
      <c r="U398" s="493"/>
      <c r="V398" s="240">
        <f t="shared" si="205"/>
        <v>0</v>
      </c>
      <c r="W398" s="240"/>
      <c r="X398" s="240"/>
      <c r="Y398" s="240">
        <v>1560000000</v>
      </c>
      <c r="Z398" s="241"/>
      <c r="AA398" s="241"/>
      <c r="AB398" s="241">
        <f t="shared" si="206"/>
        <v>1560000000</v>
      </c>
      <c r="AC398" s="242">
        <f t="shared" si="207"/>
        <v>47588000</v>
      </c>
      <c r="AD398" s="259">
        <v>47588000</v>
      </c>
      <c r="AE398" s="494"/>
      <c r="AF398" s="494"/>
      <c r="AG398" s="240"/>
      <c r="AH398" s="240">
        <f t="shared" si="208"/>
        <v>0</v>
      </c>
      <c r="AI398" s="240">
        <f t="shared" si="209"/>
        <v>0</v>
      </c>
      <c r="AJ398" s="240">
        <f t="shared" si="210"/>
        <v>0</v>
      </c>
      <c r="AK398" s="223"/>
      <c r="AL398" s="244"/>
      <c r="AM398" s="236">
        <f t="shared" si="211"/>
        <v>1512412000</v>
      </c>
      <c r="AN398" s="472" t="s">
        <v>94</v>
      </c>
    </row>
    <row r="399" spans="1:40" s="321" customFormat="1" ht="19.5" customHeight="1">
      <c r="A399" s="230"/>
      <c r="B399" s="495" t="s">
        <v>108</v>
      </c>
      <c r="C399" s="232" t="s">
        <v>1260</v>
      </c>
      <c r="D399" s="456"/>
      <c r="E399" s="219"/>
      <c r="F399" s="220"/>
      <c r="G399" s="221"/>
      <c r="H399" s="221"/>
      <c r="I399" s="240">
        <f t="shared" si="213"/>
        <v>2270</v>
      </c>
      <c r="J399" s="223"/>
      <c r="K399" s="240">
        <v>2270</v>
      </c>
      <c r="L399" s="240"/>
      <c r="M399" s="240"/>
      <c r="N399" s="239">
        <f t="shared" si="204"/>
        <v>68.5038</v>
      </c>
      <c r="O399" s="239"/>
      <c r="P399" s="239">
        <f t="shared" si="212"/>
        <v>68.5038</v>
      </c>
      <c r="Q399" s="239">
        <v>68.5038</v>
      </c>
      <c r="R399" s="239">
        <v>0</v>
      </c>
      <c r="S399" s="239">
        <v>0</v>
      </c>
      <c r="T399" s="492"/>
      <c r="U399" s="493"/>
      <c r="V399" s="240">
        <f t="shared" si="205"/>
        <v>0</v>
      </c>
      <c r="W399" s="240"/>
      <c r="X399" s="240"/>
      <c r="Y399" s="240">
        <v>2270000000</v>
      </c>
      <c r="Z399" s="241"/>
      <c r="AA399" s="241"/>
      <c r="AB399" s="241">
        <f t="shared" si="206"/>
        <v>2270000000</v>
      </c>
      <c r="AC399" s="242">
        <f t="shared" si="207"/>
        <v>68503800</v>
      </c>
      <c r="AD399" s="259">
        <v>68503800</v>
      </c>
      <c r="AE399" s="494"/>
      <c r="AF399" s="494"/>
      <c r="AG399" s="240"/>
      <c r="AH399" s="240">
        <f t="shared" si="208"/>
        <v>814436800</v>
      </c>
      <c r="AI399" s="240">
        <f t="shared" si="209"/>
        <v>814436800</v>
      </c>
      <c r="AJ399" s="240">
        <f t="shared" si="210"/>
        <v>0</v>
      </c>
      <c r="AK399" s="341">
        <v>814436800</v>
      </c>
      <c r="AL399" s="244"/>
      <c r="AM399" s="236">
        <f t="shared" si="211"/>
        <v>1387059400</v>
      </c>
      <c r="AN399" s="472" t="s">
        <v>94</v>
      </c>
    </row>
    <row r="400" spans="1:40" s="321" customFormat="1" ht="19.5" customHeight="1">
      <c r="A400" s="230"/>
      <c r="B400" s="495" t="s">
        <v>109</v>
      </c>
      <c r="C400" s="232" t="s">
        <v>1408</v>
      </c>
      <c r="D400" s="456"/>
      <c r="E400" s="219"/>
      <c r="F400" s="220"/>
      <c r="G400" s="221"/>
      <c r="H400" s="221"/>
      <c r="I400" s="240">
        <f t="shared" si="213"/>
        <v>14200</v>
      </c>
      <c r="J400" s="223"/>
      <c r="K400" s="240">
        <v>14200</v>
      </c>
      <c r="L400" s="240"/>
      <c r="M400" s="240"/>
      <c r="N400" s="239"/>
      <c r="O400" s="239"/>
      <c r="P400" s="239"/>
      <c r="Q400" s="239"/>
      <c r="R400" s="239">
        <v>0</v>
      </c>
      <c r="S400" s="239">
        <v>0</v>
      </c>
      <c r="T400" s="492"/>
      <c r="U400" s="493"/>
      <c r="V400" s="240">
        <f t="shared" si="205"/>
        <v>0</v>
      </c>
      <c r="W400" s="240"/>
      <c r="X400" s="240"/>
      <c r="Y400" s="240">
        <v>14200000000</v>
      </c>
      <c r="Z400" s="241"/>
      <c r="AA400" s="241"/>
      <c r="AB400" s="241">
        <f t="shared" si="206"/>
        <v>14200000000</v>
      </c>
      <c r="AC400" s="242">
        <f t="shared" si="207"/>
        <v>0</v>
      </c>
      <c r="AD400" s="494"/>
      <c r="AE400" s="494"/>
      <c r="AF400" s="494"/>
      <c r="AG400" s="240"/>
      <c r="AH400" s="240">
        <f t="shared" si="208"/>
        <v>0</v>
      </c>
      <c r="AI400" s="240">
        <f t="shared" si="209"/>
        <v>0</v>
      </c>
      <c r="AJ400" s="240">
        <f t="shared" si="210"/>
        <v>0</v>
      </c>
      <c r="AK400" s="223"/>
      <c r="AL400" s="244"/>
      <c r="AM400" s="236">
        <f t="shared" si="211"/>
        <v>14200000000</v>
      </c>
      <c r="AN400" s="472"/>
    </row>
    <row r="401" spans="1:40" s="321" customFormat="1" ht="19.5" customHeight="1">
      <c r="A401" s="230"/>
      <c r="B401" s="495" t="s">
        <v>110</v>
      </c>
      <c r="C401" s="232" t="s">
        <v>1408</v>
      </c>
      <c r="D401" s="456"/>
      <c r="E401" s="219"/>
      <c r="F401" s="220"/>
      <c r="G401" s="221"/>
      <c r="H401" s="221"/>
      <c r="I401" s="240">
        <f t="shared" si="213"/>
        <v>1400</v>
      </c>
      <c r="J401" s="223"/>
      <c r="K401" s="240">
        <v>1400</v>
      </c>
      <c r="L401" s="240"/>
      <c r="M401" s="240"/>
      <c r="N401" s="239"/>
      <c r="O401" s="239"/>
      <c r="P401" s="239"/>
      <c r="Q401" s="239"/>
      <c r="R401" s="239">
        <v>0</v>
      </c>
      <c r="S401" s="239">
        <v>0</v>
      </c>
      <c r="T401" s="492"/>
      <c r="U401" s="493"/>
      <c r="V401" s="240">
        <f t="shared" si="205"/>
        <v>0</v>
      </c>
      <c r="W401" s="240"/>
      <c r="X401" s="240"/>
      <c r="Y401" s="240">
        <v>1400000000</v>
      </c>
      <c r="Z401" s="241"/>
      <c r="AA401" s="241"/>
      <c r="AB401" s="241">
        <f t="shared" si="206"/>
        <v>1400000000</v>
      </c>
      <c r="AC401" s="242">
        <f t="shared" si="207"/>
        <v>0</v>
      </c>
      <c r="AD401" s="494"/>
      <c r="AE401" s="494"/>
      <c r="AF401" s="494"/>
      <c r="AG401" s="240"/>
      <c r="AH401" s="240">
        <f t="shared" si="208"/>
        <v>0</v>
      </c>
      <c r="AI401" s="240">
        <f t="shared" si="209"/>
        <v>0</v>
      </c>
      <c r="AJ401" s="240">
        <f t="shared" si="210"/>
        <v>0</v>
      </c>
      <c r="AK401" s="223"/>
      <c r="AL401" s="244"/>
      <c r="AM401" s="236">
        <f t="shared" si="211"/>
        <v>1400000000</v>
      </c>
      <c r="AN401" s="472"/>
    </row>
    <row r="402" spans="1:40" s="321" customFormat="1" ht="19.5" customHeight="1">
      <c r="A402" s="230"/>
      <c r="B402" s="495" t="s">
        <v>111</v>
      </c>
      <c r="C402" s="232" t="s">
        <v>112</v>
      </c>
      <c r="D402" s="456"/>
      <c r="E402" s="219"/>
      <c r="F402" s="220"/>
      <c r="G402" s="221"/>
      <c r="H402" s="221"/>
      <c r="I402" s="240">
        <f t="shared" si="213"/>
        <v>3900</v>
      </c>
      <c r="J402" s="223"/>
      <c r="K402" s="240">
        <v>3900</v>
      </c>
      <c r="L402" s="240"/>
      <c r="M402" s="240"/>
      <c r="N402" s="239"/>
      <c r="O402" s="239"/>
      <c r="P402" s="239"/>
      <c r="Q402" s="239"/>
      <c r="R402" s="239">
        <v>0</v>
      </c>
      <c r="S402" s="239">
        <v>0</v>
      </c>
      <c r="T402" s="492"/>
      <c r="U402" s="493"/>
      <c r="V402" s="240">
        <f aca="true" t="shared" si="215" ref="V402:V434">W402+X402</f>
        <v>0</v>
      </c>
      <c r="W402" s="240"/>
      <c r="X402" s="240"/>
      <c r="Y402" s="240">
        <v>3900000000</v>
      </c>
      <c r="Z402" s="241"/>
      <c r="AA402" s="241"/>
      <c r="AB402" s="241">
        <f aca="true" t="shared" si="216" ref="AB402:AB434">Y402+Z402-AA402+X402</f>
        <v>3900000000</v>
      </c>
      <c r="AC402" s="242">
        <f aca="true" t="shared" si="217" ref="AC402:AC434">AD402+AE402+AF402</f>
        <v>0</v>
      </c>
      <c r="AD402" s="494"/>
      <c r="AE402" s="494"/>
      <c r="AF402" s="494"/>
      <c r="AG402" s="240"/>
      <c r="AH402" s="240">
        <f aca="true" t="shared" si="218" ref="AH402:AH434">AI402+AL402</f>
        <v>0</v>
      </c>
      <c r="AI402" s="240">
        <f aca="true" t="shared" si="219" ref="AI402:AI434">SUM(AJ402:AK402)</f>
        <v>0</v>
      </c>
      <c r="AJ402" s="240">
        <f aca="true" t="shared" si="220" ref="AJ402:AJ434">W402-AF402-AG402</f>
        <v>0</v>
      </c>
      <c r="AK402" s="223"/>
      <c r="AL402" s="244"/>
      <c r="AM402" s="236">
        <f aca="true" t="shared" si="221" ref="AM402:AM434">AB402-AD402-AE402-AK402-AL402</f>
        <v>3900000000</v>
      </c>
      <c r="AN402" s="472"/>
    </row>
    <row r="403" spans="1:40" s="321" customFormat="1" ht="19.5" customHeight="1">
      <c r="A403" s="230"/>
      <c r="B403" s="495" t="s">
        <v>113</v>
      </c>
      <c r="C403" s="232" t="s">
        <v>1408</v>
      </c>
      <c r="D403" s="456"/>
      <c r="E403" s="219"/>
      <c r="F403" s="220"/>
      <c r="G403" s="221"/>
      <c r="H403" s="221"/>
      <c r="I403" s="240">
        <f t="shared" si="213"/>
        <v>2000</v>
      </c>
      <c r="J403" s="223"/>
      <c r="K403" s="240">
        <v>2000</v>
      </c>
      <c r="L403" s="240"/>
      <c r="M403" s="240"/>
      <c r="N403" s="239"/>
      <c r="O403" s="239"/>
      <c r="P403" s="239"/>
      <c r="Q403" s="239"/>
      <c r="R403" s="239">
        <v>0</v>
      </c>
      <c r="S403" s="239">
        <v>0</v>
      </c>
      <c r="T403" s="492"/>
      <c r="U403" s="493"/>
      <c r="V403" s="240">
        <f t="shared" si="215"/>
        <v>0</v>
      </c>
      <c r="W403" s="240"/>
      <c r="X403" s="240"/>
      <c r="Y403" s="240">
        <v>2000000000</v>
      </c>
      <c r="Z403" s="241"/>
      <c r="AA403" s="241"/>
      <c r="AB403" s="241">
        <f t="shared" si="216"/>
        <v>2000000000</v>
      </c>
      <c r="AC403" s="242">
        <f t="shared" si="217"/>
        <v>0</v>
      </c>
      <c r="AD403" s="494"/>
      <c r="AE403" s="494"/>
      <c r="AF403" s="494"/>
      <c r="AG403" s="240"/>
      <c r="AH403" s="240">
        <f t="shared" si="218"/>
        <v>0</v>
      </c>
      <c r="AI403" s="240">
        <f t="shared" si="219"/>
        <v>0</v>
      </c>
      <c r="AJ403" s="240">
        <f t="shared" si="220"/>
        <v>0</v>
      </c>
      <c r="AK403" s="223"/>
      <c r="AL403" s="244"/>
      <c r="AM403" s="236">
        <f t="shared" si="221"/>
        <v>2000000000</v>
      </c>
      <c r="AN403" s="472"/>
    </row>
    <row r="404" spans="1:40" s="321" customFormat="1" ht="19.5" customHeight="1">
      <c r="A404" s="230"/>
      <c r="B404" s="495" t="s">
        <v>114</v>
      </c>
      <c r="C404" s="232" t="s">
        <v>1634</v>
      </c>
      <c r="D404" s="456"/>
      <c r="E404" s="219"/>
      <c r="F404" s="220"/>
      <c r="G404" s="221"/>
      <c r="H404" s="221"/>
      <c r="I404" s="240">
        <f t="shared" si="213"/>
        <v>2200</v>
      </c>
      <c r="J404" s="223"/>
      <c r="K404" s="240">
        <v>2200</v>
      </c>
      <c r="L404" s="240"/>
      <c r="M404" s="240"/>
      <c r="N404" s="239"/>
      <c r="O404" s="239"/>
      <c r="P404" s="239"/>
      <c r="Q404" s="239"/>
      <c r="R404" s="239">
        <v>0</v>
      </c>
      <c r="S404" s="239">
        <v>0</v>
      </c>
      <c r="T404" s="492"/>
      <c r="U404" s="493"/>
      <c r="V404" s="240">
        <f t="shared" si="215"/>
        <v>0</v>
      </c>
      <c r="W404" s="240"/>
      <c r="X404" s="240"/>
      <c r="Y404" s="240">
        <v>2200000000</v>
      </c>
      <c r="Z404" s="241"/>
      <c r="AA404" s="241"/>
      <c r="AB404" s="241">
        <f t="shared" si="216"/>
        <v>2200000000</v>
      </c>
      <c r="AC404" s="242">
        <f t="shared" si="217"/>
        <v>0</v>
      </c>
      <c r="AD404" s="494"/>
      <c r="AE404" s="494"/>
      <c r="AF404" s="494"/>
      <c r="AG404" s="240"/>
      <c r="AH404" s="240">
        <f t="shared" si="218"/>
        <v>0</v>
      </c>
      <c r="AI404" s="240">
        <f t="shared" si="219"/>
        <v>0</v>
      </c>
      <c r="AJ404" s="240">
        <f t="shared" si="220"/>
        <v>0</v>
      </c>
      <c r="AK404" s="223"/>
      <c r="AL404" s="244"/>
      <c r="AM404" s="236">
        <f t="shared" si="221"/>
        <v>2200000000</v>
      </c>
      <c r="AN404" s="472"/>
    </row>
    <row r="405" spans="1:40" s="321" customFormat="1" ht="19.5" customHeight="1">
      <c r="A405" s="230"/>
      <c r="B405" s="495" t="s">
        <v>115</v>
      </c>
      <c r="C405" s="232" t="s">
        <v>1058</v>
      </c>
      <c r="D405" s="456"/>
      <c r="E405" s="219"/>
      <c r="F405" s="220"/>
      <c r="G405" s="221"/>
      <c r="H405" s="221"/>
      <c r="I405" s="240">
        <f t="shared" si="213"/>
        <v>3200</v>
      </c>
      <c r="J405" s="223"/>
      <c r="K405" s="240">
        <v>3200</v>
      </c>
      <c r="L405" s="240"/>
      <c r="M405" s="240"/>
      <c r="N405" s="239">
        <f aca="true" t="shared" si="222" ref="N405:N434">Q405+R405+S405</f>
        <v>316.061008</v>
      </c>
      <c r="O405" s="239"/>
      <c r="P405" s="239">
        <f aca="true" t="shared" si="223" ref="P405:P434">SUM(Q405:T405)</f>
        <v>316.061008</v>
      </c>
      <c r="Q405" s="239">
        <v>316.061008</v>
      </c>
      <c r="R405" s="239">
        <v>0</v>
      </c>
      <c r="S405" s="239">
        <v>0</v>
      </c>
      <c r="T405" s="492"/>
      <c r="U405" s="493"/>
      <c r="V405" s="240">
        <f t="shared" si="215"/>
        <v>0</v>
      </c>
      <c r="W405" s="240"/>
      <c r="X405" s="240"/>
      <c r="Y405" s="240">
        <v>3200000000</v>
      </c>
      <c r="Z405" s="241"/>
      <c r="AA405" s="241"/>
      <c r="AB405" s="241">
        <f t="shared" si="216"/>
        <v>3200000000</v>
      </c>
      <c r="AC405" s="242">
        <f t="shared" si="217"/>
        <v>316061008</v>
      </c>
      <c r="AD405" s="259">
        <v>316061008</v>
      </c>
      <c r="AE405" s="494"/>
      <c r="AF405" s="494"/>
      <c r="AG405" s="240"/>
      <c r="AH405" s="240">
        <f t="shared" si="218"/>
        <v>0</v>
      </c>
      <c r="AI405" s="240">
        <f t="shared" si="219"/>
        <v>0</v>
      </c>
      <c r="AJ405" s="240">
        <f t="shared" si="220"/>
        <v>0</v>
      </c>
      <c r="AK405" s="223"/>
      <c r="AL405" s="244"/>
      <c r="AM405" s="236">
        <f t="shared" si="221"/>
        <v>2883938992</v>
      </c>
      <c r="AN405" s="472"/>
    </row>
    <row r="406" spans="1:40" s="321" customFormat="1" ht="19.5" customHeight="1">
      <c r="A406" s="230"/>
      <c r="B406" s="495" t="s">
        <v>116</v>
      </c>
      <c r="C406" s="232" t="s">
        <v>1408</v>
      </c>
      <c r="D406" s="456"/>
      <c r="E406" s="219"/>
      <c r="F406" s="220"/>
      <c r="G406" s="221"/>
      <c r="H406" s="221"/>
      <c r="I406" s="240">
        <f t="shared" si="213"/>
        <v>1130</v>
      </c>
      <c r="J406" s="223"/>
      <c r="K406" s="240">
        <v>1130</v>
      </c>
      <c r="L406" s="240"/>
      <c r="M406" s="240"/>
      <c r="N406" s="239"/>
      <c r="O406" s="239"/>
      <c r="P406" s="239"/>
      <c r="Q406" s="239"/>
      <c r="R406" s="239">
        <v>0</v>
      </c>
      <c r="S406" s="239">
        <v>0</v>
      </c>
      <c r="T406" s="492"/>
      <c r="U406" s="493"/>
      <c r="V406" s="240">
        <f t="shared" si="215"/>
        <v>0</v>
      </c>
      <c r="W406" s="240"/>
      <c r="X406" s="240"/>
      <c r="Y406" s="240">
        <v>1130000000</v>
      </c>
      <c r="Z406" s="241"/>
      <c r="AA406" s="241"/>
      <c r="AB406" s="241">
        <f t="shared" si="216"/>
        <v>1130000000</v>
      </c>
      <c r="AC406" s="242">
        <f t="shared" si="217"/>
        <v>0</v>
      </c>
      <c r="AD406" s="494"/>
      <c r="AE406" s="494"/>
      <c r="AF406" s="494"/>
      <c r="AG406" s="240"/>
      <c r="AH406" s="240">
        <f t="shared" si="218"/>
        <v>0</v>
      </c>
      <c r="AI406" s="240">
        <f t="shared" si="219"/>
        <v>0</v>
      </c>
      <c r="AJ406" s="240">
        <f t="shared" si="220"/>
        <v>0</v>
      </c>
      <c r="AK406" s="223"/>
      <c r="AL406" s="244"/>
      <c r="AM406" s="236">
        <f t="shared" si="221"/>
        <v>1130000000</v>
      </c>
      <c r="AN406" s="472"/>
    </row>
    <row r="407" spans="1:40" s="321" customFormat="1" ht="19.5" customHeight="1">
      <c r="A407" s="230"/>
      <c r="B407" s="495" t="s">
        <v>117</v>
      </c>
      <c r="C407" s="232" t="s">
        <v>118</v>
      </c>
      <c r="D407" s="456"/>
      <c r="E407" s="219"/>
      <c r="F407" s="220"/>
      <c r="G407" s="221"/>
      <c r="H407" s="221"/>
      <c r="I407" s="240">
        <f t="shared" si="213"/>
        <v>1138</v>
      </c>
      <c r="J407" s="223"/>
      <c r="K407" s="240">
        <v>1138</v>
      </c>
      <c r="L407" s="240"/>
      <c r="M407" s="240"/>
      <c r="N407" s="239"/>
      <c r="O407" s="239"/>
      <c r="P407" s="239"/>
      <c r="Q407" s="239"/>
      <c r="R407" s="239">
        <v>0</v>
      </c>
      <c r="S407" s="239">
        <v>0</v>
      </c>
      <c r="T407" s="492"/>
      <c r="U407" s="493"/>
      <c r="V407" s="240">
        <f t="shared" si="215"/>
        <v>0</v>
      </c>
      <c r="W407" s="240"/>
      <c r="X407" s="240"/>
      <c r="Y407" s="240">
        <v>1138000000</v>
      </c>
      <c r="Z407" s="241"/>
      <c r="AA407" s="241"/>
      <c r="AB407" s="241">
        <f t="shared" si="216"/>
        <v>1138000000</v>
      </c>
      <c r="AC407" s="242">
        <f t="shared" si="217"/>
        <v>0</v>
      </c>
      <c r="AD407" s="341"/>
      <c r="AE407" s="494"/>
      <c r="AF407" s="494"/>
      <c r="AG407" s="240"/>
      <c r="AH407" s="240">
        <f t="shared" si="218"/>
        <v>400000000</v>
      </c>
      <c r="AI407" s="240">
        <f t="shared" si="219"/>
        <v>400000000</v>
      </c>
      <c r="AJ407" s="240">
        <f t="shared" si="220"/>
        <v>0</v>
      </c>
      <c r="AK407" s="341">
        <v>400000000</v>
      </c>
      <c r="AL407" s="244"/>
      <c r="AM407" s="236">
        <f t="shared" si="221"/>
        <v>738000000</v>
      </c>
      <c r="AN407" s="472"/>
    </row>
    <row r="408" spans="1:40" s="321" customFormat="1" ht="19.5" customHeight="1">
      <c r="A408" s="230"/>
      <c r="B408" s="495" t="s">
        <v>119</v>
      </c>
      <c r="C408" s="232" t="s">
        <v>1634</v>
      </c>
      <c r="D408" s="456"/>
      <c r="E408" s="219"/>
      <c r="F408" s="220"/>
      <c r="G408" s="221"/>
      <c r="H408" s="221"/>
      <c r="I408" s="240">
        <f t="shared" si="213"/>
        <v>630</v>
      </c>
      <c r="J408" s="223"/>
      <c r="K408" s="240">
        <v>630</v>
      </c>
      <c r="L408" s="240"/>
      <c r="M408" s="240"/>
      <c r="N408" s="239"/>
      <c r="O408" s="239"/>
      <c r="P408" s="239"/>
      <c r="Q408" s="239"/>
      <c r="R408" s="239">
        <v>0</v>
      </c>
      <c r="S408" s="239">
        <v>0</v>
      </c>
      <c r="T408" s="492"/>
      <c r="U408" s="493"/>
      <c r="V408" s="240">
        <f t="shared" si="215"/>
        <v>0</v>
      </c>
      <c r="W408" s="240"/>
      <c r="X408" s="240"/>
      <c r="Y408" s="240">
        <v>630000000</v>
      </c>
      <c r="Z408" s="241"/>
      <c r="AA408" s="241"/>
      <c r="AB408" s="241">
        <f t="shared" si="216"/>
        <v>630000000</v>
      </c>
      <c r="AC408" s="242">
        <f t="shared" si="217"/>
        <v>0</v>
      </c>
      <c r="AD408" s="494"/>
      <c r="AE408" s="494"/>
      <c r="AF408" s="494"/>
      <c r="AG408" s="240"/>
      <c r="AH408" s="240">
        <f t="shared" si="218"/>
        <v>0</v>
      </c>
      <c r="AI408" s="240">
        <f t="shared" si="219"/>
        <v>0</v>
      </c>
      <c r="AJ408" s="240">
        <f t="shared" si="220"/>
        <v>0</v>
      </c>
      <c r="AK408" s="223"/>
      <c r="AL408" s="244"/>
      <c r="AM408" s="236">
        <f t="shared" si="221"/>
        <v>630000000</v>
      </c>
      <c r="AN408" s="472"/>
    </row>
    <row r="409" spans="1:40" s="321" customFormat="1" ht="19.5" customHeight="1">
      <c r="A409" s="230"/>
      <c r="B409" s="495" t="s">
        <v>120</v>
      </c>
      <c r="C409" s="232" t="s">
        <v>1408</v>
      </c>
      <c r="D409" s="456"/>
      <c r="E409" s="219"/>
      <c r="F409" s="220"/>
      <c r="G409" s="221"/>
      <c r="H409" s="221"/>
      <c r="I409" s="240">
        <f t="shared" si="213"/>
        <v>1200</v>
      </c>
      <c r="J409" s="223"/>
      <c r="K409" s="240">
        <v>1200</v>
      </c>
      <c r="L409" s="240"/>
      <c r="M409" s="240"/>
      <c r="N409" s="239"/>
      <c r="O409" s="239"/>
      <c r="P409" s="239"/>
      <c r="Q409" s="239"/>
      <c r="R409" s="239">
        <v>0</v>
      </c>
      <c r="S409" s="239">
        <v>0</v>
      </c>
      <c r="T409" s="492"/>
      <c r="U409" s="493"/>
      <c r="V409" s="240">
        <f t="shared" si="215"/>
        <v>0</v>
      </c>
      <c r="W409" s="240"/>
      <c r="X409" s="240"/>
      <c r="Y409" s="240">
        <v>1200000000</v>
      </c>
      <c r="Z409" s="241"/>
      <c r="AA409" s="241"/>
      <c r="AB409" s="241">
        <f t="shared" si="216"/>
        <v>1200000000</v>
      </c>
      <c r="AC409" s="242">
        <f t="shared" si="217"/>
        <v>0</v>
      </c>
      <c r="AD409" s="494"/>
      <c r="AE409" s="494"/>
      <c r="AF409" s="494"/>
      <c r="AG409" s="240"/>
      <c r="AH409" s="240">
        <f t="shared" si="218"/>
        <v>0</v>
      </c>
      <c r="AI409" s="240">
        <f t="shared" si="219"/>
        <v>0</v>
      </c>
      <c r="AJ409" s="240">
        <f t="shared" si="220"/>
        <v>0</v>
      </c>
      <c r="AK409" s="223"/>
      <c r="AL409" s="244"/>
      <c r="AM409" s="236">
        <f t="shared" si="221"/>
        <v>1200000000</v>
      </c>
      <c r="AN409" s="472"/>
    </row>
    <row r="410" spans="1:40" s="321" customFormat="1" ht="19.5" customHeight="1">
      <c r="A410" s="230"/>
      <c r="B410" s="495" t="s">
        <v>121</v>
      </c>
      <c r="C410" s="232" t="s">
        <v>1416</v>
      </c>
      <c r="D410" s="456"/>
      <c r="E410" s="219"/>
      <c r="F410" s="220"/>
      <c r="G410" s="221"/>
      <c r="H410" s="221"/>
      <c r="I410" s="240">
        <f t="shared" si="213"/>
        <v>1145</v>
      </c>
      <c r="J410" s="223"/>
      <c r="K410" s="240">
        <v>1145</v>
      </c>
      <c r="L410" s="240"/>
      <c r="M410" s="240"/>
      <c r="N410" s="239"/>
      <c r="O410" s="239"/>
      <c r="P410" s="239"/>
      <c r="Q410" s="239"/>
      <c r="R410" s="239">
        <v>0</v>
      </c>
      <c r="S410" s="239">
        <v>0</v>
      </c>
      <c r="T410" s="492"/>
      <c r="U410" s="493"/>
      <c r="V410" s="240">
        <f t="shared" si="215"/>
        <v>0</v>
      </c>
      <c r="W410" s="240"/>
      <c r="X410" s="240"/>
      <c r="Y410" s="240">
        <v>1145000000</v>
      </c>
      <c r="Z410" s="241"/>
      <c r="AA410" s="241"/>
      <c r="AB410" s="241">
        <f t="shared" si="216"/>
        <v>1145000000</v>
      </c>
      <c r="AC410" s="242">
        <f t="shared" si="217"/>
        <v>0</v>
      </c>
      <c r="AD410" s="494"/>
      <c r="AE410" s="494"/>
      <c r="AF410" s="494"/>
      <c r="AG410" s="240"/>
      <c r="AH410" s="240">
        <f t="shared" si="218"/>
        <v>0</v>
      </c>
      <c r="AI410" s="240">
        <f t="shared" si="219"/>
        <v>0</v>
      </c>
      <c r="AJ410" s="240">
        <f t="shared" si="220"/>
        <v>0</v>
      </c>
      <c r="AK410" s="223"/>
      <c r="AL410" s="244"/>
      <c r="AM410" s="236">
        <f t="shared" si="221"/>
        <v>1145000000</v>
      </c>
      <c r="AN410" s="472"/>
    </row>
    <row r="411" spans="1:40" s="321" customFormat="1" ht="19.5" customHeight="1">
      <c r="A411" s="230"/>
      <c r="B411" s="495" t="s">
        <v>122</v>
      </c>
      <c r="C411" s="232" t="s">
        <v>1634</v>
      </c>
      <c r="D411" s="456"/>
      <c r="E411" s="219"/>
      <c r="F411" s="220"/>
      <c r="G411" s="221"/>
      <c r="H411" s="221"/>
      <c r="I411" s="240">
        <f t="shared" si="213"/>
        <v>1085</v>
      </c>
      <c r="J411" s="223"/>
      <c r="K411" s="240">
        <v>1085</v>
      </c>
      <c r="L411" s="240"/>
      <c r="M411" s="240"/>
      <c r="N411" s="239"/>
      <c r="O411" s="239"/>
      <c r="P411" s="239"/>
      <c r="Q411" s="239"/>
      <c r="R411" s="239">
        <v>0</v>
      </c>
      <c r="S411" s="239">
        <v>0</v>
      </c>
      <c r="T411" s="492"/>
      <c r="U411" s="493"/>
      <c r="V411" s="240">
        <f t="shared" si="215"/>
        <v>0</v>
      </c>
      <c r="W411" s="240"/>
      <c r="X411" s="240"/>
      <c r="Y411" s="240">
        <v>1085000000</v>
      </c>
      <c r="Z411" s="241"/>
      <c r="AA411" s="241"/>
      <c r="AB411" s="241">
        <f t="shared" si="216"/>
        <v>1085000000</v>
      </c>
      <c r="AC411" s="242">
        <f t="shared" si="217"/>
        <v>0</v>
      </c>
      <c r="AD411" s="494"/>
      <c r="AE411" s="494"/>
      <c r="AF411" s="494"/>
      <c r="AG411" s="240"/>
      <c r="AH411" s="240">
        <f t="shared" si="218"/>
        <v>0</v>
      </c>
      <c r="AI411" s="240">
        <f t="shared" si="219"/>
        <v>0</v>
      </c>
      <c r="AJ411" s="240">
        <f t="shared" si="220"/>
        <v>0</v>
      </c>
      <c r="AK411" s="223"/>
      <c r="AL411" s="244"/>
      <c r="AM411" s="236">
        <f t="shared" si="221"/>
        <v>1085000000</v>
      </c>
      <c r="AN411" s="472"/>
    </row>
    <row r="412" spans="1:40" s="321" customFormat="1" ht="19.5" customHeight="1">
      <c r="A412" s="230"/>
      <c r="B412" s="495" t="s">
        <v>123</v>
      </c>
      <c r="C412" s="232" t="s">
        <v>1408</v>
      </c>
      <c r="D412" s="456"/>
      <c r="E412" s="219"/>
      <c r="F412" s="220"/>
      <c r="G412" s="221"/>
      <c r="H412" s="221"/>
      <c r="I412" s="240">
        <f>K412+M412</f>
        <v>4525</v>
      </c>
      <c r="J412" s="223"/>
      <c r="K412" s="240">
        <v>4525</v>
      </c>
      <c r="L412" s="240"/>
      <c r="M412" s="240"/>
      <c r="N412" s="239">
        <f t="shared" si="222"/>
        <v>503.376</v>
      </c>
      <c r="O412" s="239"/>
      <c r="P412" s="239">
        <f t="shared" si="223"/>
        <v>503.376</v>
      </c>
      <c r="Q412" s="239">
        <v>503.376</v>
      </c>
      <c r="R412" s="239">
        <v>0</v>
      </c>
      <c r="S412" s="239">
        <v>0</v>
      </c>
      <c r="T412" s="492"/>
      <c r="U412" s="493"/>
      <c r="V412" s="240">
        <f t="shared" si="215"/>
        <v>0</v>
      </c>
      <c r="W412" s="240"/>
      <c r="X412" s="240"/>
      <c r="Y412" s="240">
        <v>4525000000</v>
      </c>
      <c r="Z412" s="241"/>
      <c r="AA412" s="241"/>
      <c r="AB412" s="241">
        <f t="shared" si="216"/>
        <v>4525000000</v>
      </c>
      <c r="AC412" s="242">
        <f t="shared" si="217"/>
        <v>503376000</v>
      </c>
      <c r="AD412" s="259">
        <v>503376000</v>
      </c>
      <c r="AE412" s="494"/>
      <c r="AF412" s="494"/>
      <c r="AG412" s="240"/>
      <c r="AH412" s="240">
        <f t="shared" si="218"/>
        <v>0</v>
      </c>
      <c r="AI412" s="240">
        <f t="shared" si="219"/>
        <v>0</v>
      </c>
      <c r="AJ412" s="240">
        <f t="shared" si="220"/>
        <v>0</v>
      </c>
      <c r="AK412" s="223"/>
      <c r="AL412" s="244"/>
      <c r="AM412" s="236">
        <f t="shared" si="221"/>
        <v>4021624000</v>
      </c>
      <c r="AN412" s="472"/>
    </row>
    <row r="413" spans="1:40" s="321" customFormat="1" ht="19.5" customHeight="1">
      <c r="A413" s="230"/>
      <c r="B413" s="495" t="s">
        <v>124</v>
      </c>
      <c r="C413" s="232"/>
      <c r="D413" s="456"/>
      <c r="E413" s="219"/>
      <c r="F413" s="220"/>
      <c r="G413" s="221"/>
      <c r="H413" s="221"/>
      <c r="I413" s="240"/>
      <c r="J413" s="223"/>
      <c r="K413" s="240"/>
      <c r="L413" s="240"/>
      <c r="M413" s="240"/>
      <c r="N413" s="239">
        <f t="shared" si="222"/>
        <v>1077.294</v>
      </c>
      <c r="O413" s="239"/>
      <c r="P413" s="239">
        <f t="shared" si="223"/>
        <v>1077.294</v>
      </c>
      <c r="Q413" s="239"/>
      <c r="R413" s="239">
        <v>1077.294</v>
      </c>
      <c r="S413" s="239">
        <v>0</v>
      </c>
      <c r="T413" s="492"/>
      <c r="U413" s="493"/>
      <c r="V413" s="240">
        <f t="shared" si="215"/>
        <v>1227000000</v>
      </c>
      <c r="W413" s="240"/>
      <c r="X413" s="240">
        <v>1227000000</v>
      </c>
      <c r="Y413" s="240"/>
      <c r="Z413" s="241"/>
      <c r="AA413" s="241"/>
      <c r="AB413" s="241">
        <f t="shared" si="216"/>
        <v>1227000000</v>
      </c>
      <c r="AC413" s="242">
        <f t="shared" si="217"/>
        <v>1077294000</v>
      </c>
      <c r="AD413" s="259"/>
      <c r="AE413" s="494">
        <v>1077294000</v>
      </c>
      <c r="AF413" s="494"/>
      <c r="AG413" s="240"/>
      <c r="AH413" s="240">
        <f t="shared" si="218"/>
        <v>0</v>
      </c>
      <c r="AI413" s="240">
        <f t="shared" si="219"/>
        <v>0</v>
      </c>
      <c r="AJ413" s="240">
        <f t="shared" si="220"/>
        <v>0</v>
      </c>
      <c r="AK413" s="223"/>
      <c r="AL413" s="244"/>
      <c r="AM413" s="236">
        <f t="shared" si="221"/>
        <v>149706000</v>
      </c>
      <c r="AN413" s="472"/>
    </row>
    <row r="414" spans="1:40" s="321" customFormat="1" ht="19.5" customHeight="1">
      <c r="A414" s="230"/>
      <c r="B414" s="495" t="s">
        <v>125</v>
      </c>
      <c r="C414" s="232"/>
      <c r="D414" s="456"/>
      <c r="E414" s="219"/>
      <c r="F414" s="220"/>
      <c r="G414" s="221"/>
      <c r="H414" s="221"/>
      <c r="I414" s="240"/>
      <c r="J414" s="223"/>
      <c r="K414" s="240"/>
      <c r="L414" s="240"/>
      <c r="M414" s="240"/>
      <c r="N414" s="239">
        <f t="shared" si="222"/>
        <v>223.506</v>
      </c>
      <c r="O414" s="239"/>
      <c r="P414" s="239">
        <f t="shared" si="223"/>
        <v>223.506</v>
      </c>
      <c r="Q414" s="239"/>
      <c r="R414" s="239">
        <v>223.506</v>
      </c>
      <c r="S414" s="239">
        <v>0</v>
      </c>
      <c r="T414" s="492"/>
      <c r="U414" s="493"/>
      <c r="V414" s="240">
        <f t="shared" si="215"/>
        <v>1658118000</v>
      </c>
      <c r="W414" s="240"/>
      <c r="X414" s="240">
        <v>1658118000</v>
      </c>
      <c r="Y414" s="240"/>
      <c r="Z414" s="241"/>
      <c r="AA414" s="241"/>
      <c r="AB414" s="241">
        <f t="shared" si="216"/>
        <v>1658118000</v>
      </c>
      <c r="AC414" s="242">
        <f t="shared" si="217"/>
        <v>223506000</v>
      </c>
      <c r="AD414" s="259"/>
      <c r="AE414" s="494">
        <v>223506000</v>
      </c>
      <c r="AF414" s="494"/>
      <c r="AG414" s="240"/>
      <c r="AH414" s="240">
        <f t="shared" si="218"/>
        <v>0</v>
      </c>
      <c r="AI414" s="240">
        <f t="shared" si="219"/>
        <v>0</v>
      </c>
      <c r="AJ414" s="240">
        <f t="shared" si="220"/>
        <v>0</v>
      </c>
      <c r="AK414" s="223"/>
      <c r="AL414" s="244"/>
      <c r="AM414" s="236">
        <f t="shared" si="221"/>
        <v>1434612000</v>
      </c>
      <c r="AN414" s="472"/>
    </row>
    <row r="415" spans="1:40" s="321" customFormat="1" ht="19.5" customHeight="1">
      <c r="A415" s="230"/>
      <c r="B415" s="495" t="s">
        <v>126</v>
      </c>
      <c r="C415" s="232"/>
      <c r="D415" s="456"/>
      <c r="E415" s="219"/>
      <c r="F415" s="220"/>
      <c r="G415" s="221"/>
      <c r="H415" s="221"/>
      <c r="I415" s="240"/>
      <c r="J415" s="223"/>
      <c r="K415" s="240"/>
      <c r="L415" s="240"/>
      <c r="M415" s="240"/>
      <c r="N415" s="239">
        <f t="shared" si="222"/>
        <v>193.675</v>
      </c>
      <c r="O415" s="239"/>
      <c r="P415" s="239">
        <f t="shared" si="223"/>
        <v>193.675</v>
      </c>
      <c r="Q415" s="239"/>
      <c r="R415" s="239">
        <v>193.675</v>
      </c>
      <c r="S415" s="239">
        <v>0</v>
      </c>
      <c r="T415" s="492"/>
      <c r="U415" s="493"/>
      <c r="V415" s="240">
        <f t="shared" si="215"/>
        <v>710540000</v>
      </c>
      <c r="W415" s="240"/>
      <c r="X415" s="240">
        <v>710540000</v>
      </c>
      <c r="Y415" s="240"/>
      <c r="Z415" s="241"/>
      <c r="AA415" s="241"/>
      <c r="AB415" s="241">
        <f t="shared" si="216"/>
        <v>710540000</v>
      </c>
      <c r="AC415" s="242">
        <f t="shared" si="217"/>
        <v>193675000</v>
      </c>
      <c r="AD415" s="259"/>
      <c r="AE415" s="494">
        <v>193675000</v>
      </c>
      <c r="AF415" s="494"/>
      <c r="AG415" s="240"/>
      <c r="AH415" s="240">
        <f t="shared" si="218"/>
        <v>0</v>
      </c>
      <c r="AI415" s="240">
        <f t="shared" si="219"/>
        <v>0</v>
      </c>
      <c r="AJ415" s="240">
        <f t="shared" si="220"/>
        <v>0</v>
      </c>
      <c r="AK415" s="223"/>
      <c r="AL415" s="244"/>
      <c r="AM415" s="236">
        <f t="shared" si="221"/>
        <v>516865000</v>
      </c>
      <c r="AN415" s="472"/>
    </row>
    <row r="416" spans="1:40" s="321" customFormat="1" ht="19.5" customHeight="1">
      <c r="A416" s="230"/>
      <c r="B416" s="495" t="s">
        <v>127</v>
      </c>
      <c r="C416" s="232"/>
      <c r="D416" s="456"/>
      <c r="E416" s="219"/>
      <c r="F416" s="220"/>
      <c r="G416" s="221"/>
      <c r="H416" s="221"/>
      <c r="I416" s="240"/>
      <c r="J416" s="223"/>
      <c r="K416" s="240"/>
      <c r="L416" s="240"/>
      <c r="M416" s="240"/>
      <c r="N416" s="239">
        <f t="shared" si="222"/>
        <v>4456.98</v>
      </c>
      <c r="O416" s="239"/>
      <c r="P416" s="239">
        <f t="shared" si="223"/>
        <v>4456.98</v>
      </c>
      <c r="Q416" s="239"/>
      <c r="R416" s="239">
        <v>4456.98</v>
      </c>
      <c r="S416" s="239">
        <v>0</v>
      </c>
      <c r="T416" s="492"/>
      <c r="U416" s="493"/>
      <c r="V416" s="240">
        <f t="shared" si="215"/>
        <v>4627460000</v>
      </c>
      <c r="W416" s="240"/>
      <c r="X416" s="240">
        <v>4627460000</v>
      </c>
      <c r="Y416" s="240"/>
      <c r="Z416" s="241"/>
      <c r="AA416" s="241"/>
      <c r="AB416" s="241">
        <f t="shared" si="216"/>
        <v>4627460000</v>
      </c>
      <c r="AC416" s="242">
        <f t="shared" si="217"/>
        <v>4456980000</v>
      </c>
      <c r="AD416" s="259"/>
      <c r="AE416" s="494">
        <v>4456980000</v>
      </c>
      <c r="AF416" s="494"/>
      <c r="AG416" s="240"/>
      <c r="AH416" s="240">
        <f t="shared" si="218"/>
        <v>0</v>
      </c>
      <c r="AI416" s="240">
        <f t="shared" si="219"/>
        <v>0</v>
      </c>
      <c r="AJ416" s="240">
        <f t="shared" si="220"/>
        <v>0</v>
      </c>
      <c r="AK416" s="223"/>
      <c r="AL416" s="244"/>
      <c r="AM416" s="236">
        <f t="shared" si="221"/>
        <v>170480000</v>
      </c>
      <c r="AN416" s="472"/>
    </row>
    <row r="417" spans="1:40" s="321" customFormat="1" ht="19.5" customHeight="1">
      <c r="A417" s="230"/>
      <c r="B417" s="495" t="s">
        <v>128</v>
      </c>
      <c r="C417" s="232"/>
      <c r="D417" s="456"/>
      <c r="E417" s="219"/>
      <c r="F417" s="220"/>
      <c r="G417" s="221"/>
      <c r="H417" s="221"/>
      <c r="I417" s="240"/>
      <c r="J417" s="223"/>
      <c r="K417" s="240"/>
      <c r="L417" s="240"/>
      <c r="M417" s="240"/>
      <c r="N417" s="239">
        <f t="shared" si="222"/>
        <v>170.718</v>
      </c>
      <c r="O417" s="239"/>
      <c r="P417" s="239">
        <f t="shared" si="223"/>
        <v>170.718</v>
      </c>
      <c r="Q417" s="239"/>
      <c r="R417" s="239">
        <v>170.718</v>
      </c>
      <c r="S417" s="239">
        <v>0</v>
      </c>
      <c r="T417" s="492"/>
      <c r="U417" s="493"/>
      <c r="V417" s="240">
        <f t="shared" si="215"/>
        <v>2975000000</v>
      </c>
      <c r="W417" s="240"/>
      <c r="X417" s="240">
        <v>2975000000</v>
      </c>
      <c r="Y417" s="240"/>
      <c r="Z417" s="241"/>
      <c r="AA417" s="241"/>
      <c r="AB417" s="241">
        <f t="shared" si="216"/>
        <v>2975000000</v>
      </c>
      <c r="AC417" s="242">
        <f t="shared" si="217"/>
        <v>170718000</v>
      </c>
      <c r="AD417" s="259"/>
      <c r="AE417" s="494">
        <v>170718000</v>
      </c>
      <c r="AF417" s="494"/>
      <c r="AG417" s="240"/>
      <c r="AH417" s="240">
        <f t="shared" si="218"/>
        <v>0</v>
      </c>
      <c r="AI417" s="240">
        <f t="shared" si="219"/>
        <v>0</v>
      </c>
      <c r="AJ417" s="240">
        <f t="shared" si="220"/>
        <v>0</v>
      </c>
      <c r="AK417" s="223"/>
      <c r="AL417" s="244"/>
      <c r="AM417" s="236">
        <f t="shared" si="221"/>
        <v>2804282000</v>
      </c>
      <c r="AN417" s="472"/>
    </row>
    <row r="418" spans="1:40" s="321" customFormat="1" ht="19.5" customHeight="1">
      <c r="A418" s="230"/>
      <c r="B418" s="495" t="s">
        <v>47</v>
      </c>
      <c r="C418" s="232"/>
      <c r="D418" s="456"/>
      <c r="E418" s="219"/>
      <c r="F418" s="220"/>
      <c r="G418" s="221"/>
      <c r="H418" s="221"/>
      <c r="I418" s="240"/>
      <c r="J418" s="223"/>
      <c r="K418" s="240"/>
      <c r="L418" s="240"/>
      <c r="M418" s="240"/>
      <c r="N418" s="239">
        <f t="shared" si="222"/>
        <v>170.914</v>
      </c>
      <c r="O418" s="239"/>
      <c r="P418" s="239">
        <f t="shared" si="223"/>
        <v>170.914</v>
      </c>
      <c r="Q418" s="239"/>
      <c r="R418" s="239">
        <v>170.914</v>
      </c>
      <c r="S418" s="239">
        <v>0</v>
      </c>
      <c r="T418" s="492"/>
      <c r="U418" s="493"/>
      <c r="V418" s="240">
        <f t="shared" si="215"/>
        <v>241804828</v>
      </c>
      <c r="W418" s="240"/>
      <c r="X418" s="240">
        <v>241804828</v>
      </c>
      <c r="Y418" s="240"/>
      <c r="Z418" s="241"/>
      <c r="AA418" s="241"/>
      <c r="AB418" s="241">
        <f t="shared" si="216"/>
        <v>241804828</v>
      </c>
      <c r="AC418" s="242">
        <f t="shared" si="217"/>
        <v>170914000</v>
      </c>
      <c r="AD418" s="259"/>
      <c r="AE418" s="494">
        <v>170914000</v>
      </c>
      <c r="AF418" s="494"/>
      <c r="AG418" s="240"/>
      <c r="AH418" s="240">
        <f t="shared" si="218"/>
        <v>0</v>
      </c>
      <c r="AI418" s="240">
        <f t="shared" si="219"/>
        <v>0</v>
      </c>
      <c r="AJ418" s="240">
        <f t="shared" si="220"/>
        <v>0</v>
      </c>
      <c r="AK418" s="223"/>
      <c r="AL418" s="244"/>
      <c r="AM418" s="236">
        <f t="shared" si="221"/>
        <v>70890828</v>
      </c>
      <c r="AN418" s="472"/>
    </row>
    <row r="419" spans="1:40" s="321" customFormat="1" ht="19.5" customHeight="1">
      <c r="A419" s="230"/>
      <c r="B419" s="495" t="s">
        <v>129</v>
      </c>
      <c r="C419" s="232"/>
      <c r="D419" s="456"/>
      <c r="E419" s="219"/>
      <c r="F419" s="220"/>
      <c r="G419" s="221"/>
      <c r="H419" s="221"/>
      <c r="I419" s="240"/>
      <c r="J419" s="223"/>
      <c r="K419" s="240"/>
      <c r="L419" s="240"/>
      <c r="M419" s="240"/>
      <c r="N419" s="239">
        <f t="shared" si="222"/>
        <v>650</v>
      </c>
      <c r="O419" s="239"/>
      <c r="P419" s="239">
        <f t="shared" si="223"/>
        <v>650</v>
      </c>
      <c r="Q419" s="239"/>
      <c r="R419" s="239">
        <v>650</v>
      </c>
      <c r="S419" s="239">
        <v>0</v>
      </c>
      <c r="T419" s="492"/>
      <c r="U419" s="493"/>
      <c r="V419" s="240">
        <f t="shared" si="215"/>
        <v>819048000</v>
      </c>
      <c r="W419" s="240"/>
      <c r="X419" s="240">
        <v>819048000</v>
      </c>
      <c r="Y419" s="240"/>
      <c r="Z419" s="241"/>
      <c r="AA419" s="241"/>
      <c r="AB419" s="241">
        <f t="shared" si="216"/>
        <v>819048000</v>
      </c>
      <c r="AC419" s="242">
        <f t="shared" si="217"/>
        <v>650000000</v>
      </c>
      <c r="AD419" s="259"/>
      <c r="AE419" s="494">
        <v>650000000</v>
      </c>
      <c r="AF419" s="494"/>
      <c r="AG419" s="240"/>
      <c r="AH419" s="240">
        <f t="shared" si="218"/>
        <v>169000000</v>
      </c>
      <c r="AI419" s="240">
        <f t="shared" si="219"/>
        <v>169000000</v>
      </c>
      <c r="AJ419" s="240">
        <f t="shared" si="220"/>
        <v>0</v>
      </c>
      <c r="AK419" s="240">
        <v>169000000</v>
      </c>
      <c r="AL419" s="244"/>
      <c r="AM419" s="236">
        <f t="shared" si="221"/>
        <v>48000</v>
      </c>
      <c r="AN419" s="472"/>
    </row>
    <row r="420" spans="1:40" s="321" customFormat="1" ht="19.5" customHeight="1">
      <c r="A420" s="230"/>
      <c r="B420" s="495" t="s">
        <v>130</v>
      </c>
      <c r="C420" s="232"/>
      <c r="D420" s="456"/>
      <c r="E420" s="219"/>
      <c r="F420" s="220"/>
      <c r="G420" s="221"/>
      <c r="H420" s="221"/>
      <c r="I420" s="240"/>
      <c r="J420" s="223"/>
      <c r="K420" s="240"/>
      <c r="L420" s="240"/>
      <c r="M420" s="240"/>
      <c r="N420" s="239">
        <f t="shared" si="222"/>
        <v>17.86</v>
      </c>
      <c r="O420" s="239"/>
      <c r="P420" s="239">
        <f t="shared" si="223"/>
        <v>17.86</v>
      </c>
      <c r="Q420" s="239"/>
      <c r="R420" s="239">
        <v>17.86</v>
      </c>
      <c r="S420" s="239">
        <v>0</v>
      </c>
      <c r="T420" s="492"/>
      <c r="U420" s="493"/>
      <c r="V420" s="240">
        <f t="shared" si="215"/>
        <v>185000000</v>
      </c>
      <c r="W420" s="240"/>
      <c r="X420" s="240">
        <v>185000000</v>
      </c>
      <c r="Y420" s="240"/>
      <c r="Z420" s="241"/>
      <c r="AA420" s="241"/>
      <c r="AB420" s="241">
        <f t="shared" si="216"/>
        <v>185000000</v>
      </c>
      <c r="AC420" s="242">
        <f t="shared" si="217"/>
        <v>17860000</v>
      </c>
      <c r="AD420" s="259"/>
      <c r="AE420" s="494">
        <v>17860000</v>
      </c>
      <c r="AF420" s="494"/>
      <c r="AG420" s="240"/>
      <c r="AH420" s="240">
        <f t="shared" si="218"/>
        <v>0</v>
      </c>
      <c r="AI420" s="240">
        <f t="shared" si="219"/>
        <v>0</v>
      </c>
      <c r="AJ420" s="240">
        <f t="shared" si="220"/>
        <v>0</v>
      </c>
      <c r="AK420" s="223"/>
      <c r="AL420" s="244"/>
      <c r="AM420" s="236">
        <f t="shared" si="221"/>
        <v>167140000</v>
      </c>
      <c r="AN420" s="472"/>
    </row>
    <row r="421" spans="1:40" s="321" customFormat="1" ht="19.5" customHeight="1">
      <c r="A421" s="230"/>
      <c r="B421" s="495" t="s">
        <v>45</v>
      </c>
      <c r="C421" s="232"/>
      <c r="D421" s="456"/>
      <c r="E421" s="219"/>
      <c r="F421" s="220"/>
      <c r="G421" s="221"/>
      <c r="H421" s="221"/>
      <c r="I421" s="240"/>
      <c r="J421" s="223"/>
      <c r="K421" s="240"/>
      <c r="L421" s="240"/>
      <c r="M421" s="240"/>
      <c r="N421" s="239">
        <f t="shared" si="222"/>
        <v>1385.449</v>
      </c>
      <c r="O421" s="239"/>
      <c r="P421" s="239">
        <f t="shared" si="223"/>
        <v>1385.449</v>
      </c>
      <c r="Q421" s="239"/>
      <c r="R421" s="239">
        <v>1385.449</v>
      </c>
      <c r="S421" s="239">
        <v>0</v>
      </c>
      <c r="T421" s="492"/>
      <c r="U421" s="493"/>
      <c r="V421" s="240">
        <f t="shared" si="215"/>
        <v>1481158000</v>
      </c>
      <c r="W421" s="240"/>
      <c r="X421" s="240">
        <v>1481158000</v>
      </c>
      <c r="Y421" s="240"/>
      <c r="Z421" s="241"/>
      <c r="AA421" s="241"/>
      <c r="AB421" s="241">
        <f t="shared" si="216"/>
        <v>1481158000</v>
      </c>
      <c r="AC421" s="242">
        <f t="shared" si="217"/>
        <v>1385449000</v>
      </c>
      <c r="AD421" s="259"/>
      <c r="AE421" s="494">
        <v>1385449000</v>
      </c>
      <c r="AF421" s="494"/>
      <c r="AG421" s="240"/>
      <c r="AH421" s="240">
        <f t="shared" si="218"/>
        <v>0</v>
      </c>
      <c r="AI421" s="240">
        <f t="shared" si="219"/>
        <v>0</v>
      </c>
      <c r="AJ421" s="240">
        <f t="shared" si="220"/>
        <v>0</v>
      </c>
      <c r="AK421" s="223"/>
      <c r="AL421" s="244"/>
      <c r="AM421" s="236">
        <f t="shared" si="221"/>
        <v>95709000</v>
      </c>
      <c r="AN421" s="472"/>
    </row>
    <row r="422" spans="1:40" s="321" customFormat="1" ht="19.5" customHeight="1">
      <c r="A422" s="230"/>
      <c r="B422" s="495" t="s">
        <v>44</v>
      </c>
      <c r="C422" s="232"/>
      <c r="D422" s="456"/>
      <c r="E422" s="219"/>
      <c r="F422" s="220"/>
      <c r="G422" s="221"/>
      <c r="H422" s="221"/>
      <c r="I422" s="240"/>
      <c r="J422" s="223"/>
      <c r="K422" s="240"/>
      <c r="L422" s="240"/>
      <c r="M422" s="240"/>
      <c r="N422" s="239">
        <f t="shared" si="222"/>
        <v>8441.265</v>
      </c>
      <c r="O422" s="239"/>
      <c r="P422" s="239">
        <f t="shared" si="223"/>
        <v>8441.265</v>
      </c>
      <c r="Q422" s="239"/>
      <c r="R422" s="239">
        <v>8441.265</v>
      </c>
      <c r="S422" s="239">
        <v>0</v>
      </c>
      <c r="T422" s="492"/>
      <c r="U422" s="493"/>
      <c r="V422" s="240">
        <f t="shared" si="215"/>
        <v>8441265000</v>
      </c>
      <c r="W422" s="240"/>
      <c r="X422" s="240">
        <v>8441265000</v>
      </c>
      <c r="Y422" s="240"/>
      <c r="Z422" s="241"/>
      <c r="AA422" s="241"/>
      <c r="AB422" s="241">
        <f t="shared" si="216"/>
        <v>8441265000</v>
      </c>
      <c r="AC422" s="242">
        <f t="shared" si="217"/>
        <v>8441265000</v>
      </c>
      <c r="AD422" s="259"/>
      <c r="AE422" s="494">
        <v>8441265000</v>
      </c>
      <c r="AF422" s="494"/>
      <c r="AG422" s="240"/>
      <c r="AH422" s="240">
        <f t="shared" si="218"/>
        <v>0</v>
      </c>
      <c r="AI422" s="240">
        <f t="shared" si="219"/>
        <v>0</v>
      </c>
      <c r="AJ422" s="240">
        <f t="shared" si="220"/>
        <v>0</v>
      </c>
      <c r="AK422" s="223"/>
      <c r="AL422" s="244"/>
      <c r="AM422" s="236">
        <f t="shared" si="221"/>
        <v>0</v>
      </c>
      <c r="AN422" s="472"/>
    </row>
    <row r="423" spans="1:40" s="321" customFormat="1" ht="19.5" customHeight="1">
      <c r="A423" s="230"/>
      <c r="B423" s="495" t="s">
        <v>131</v>
      </c>
      <c r="C423" s="232"/>
      <c r="D423" s="456"/>
      <c r="E423" s="219"/>
      <c r="F423" s="220"/>
      <c r="G423" s="221"/>
      <c r="H423" s="221"/>
      <c r="I423" s="240"/>
      <c r="J423" s="223"/>
      <c r="K423" s="240"/>
      <c r="L423" s="240"/>
      <c r="M423" s="240"/>
      <c r="N423" s="239">
        <f t="shared" si="222"/>
        <v>1328.8931</v>
      </c>
      <c r="O423" s="239"/>
      <c r="P423" s="239">
        <f t="shared" si="223"/>
        <v>1328.8931</v>
      </c>
      <c r="Q423" s="239"/>
      <c r="R423" s="239">
        <v>1328.8931</v>
      </c>
      <c r="S423" s="239">
        <v>0</v>
      </c>
      <c r="T423" s="492"/>
      <c r="U423" s="493"/>
      <c r="V423" s="240">
        <f t="shared" si="215"/>
        <v>1368773900</v>
      </c>
      <c r="W423" s="240"/>
      <c r="X423" s="240">
        <v>1368773900</v>
      </c>
      <c r="Y423" s="240"/>
      <c r="Z423" s="241"/>
      <c r="AA423" s="241"/>
      <c r="AB423" s="241">
        <f t="shared" si="216"/>
        <v>1368773900</v>
      </c>
      <c r="AC423" s="242">
        <f t="shared" si="217"/>
        <v>1328893100</v>
      </c>
      <c r="AD423" s="259"/>
      <c r="AE423" s="494">
        <v>1328893100</v>
      </c>
      <c r="AF423" s="494"/>
      <c r="AG423" s="240"/>
      <c r="AH423" s="240">
        <f t="shared" si="218"/>
        <v>0</v>
      </c>
      <c r="AI423" s="240">
        <f t="shared" si="219"/>
        <v>0</v>
      </c>
      <c r="AJ423" s="240">
        <f t="shared" si="220"/>
        <v>0</v>
      </c>
      <c r="AK423" s="223"/>
      <c r="AL423" s="244"/>
      <c r="AM423" s="236">
        <f t="shared" si="221"/>
        <v>39880800</v>
      </c>
      <c r="AN423" s="472"/>
    </row>
    <row r="424" spans="1:40" s="321" customFormat="1" ht="19.5" customHeight="1">
      <c r="A424" s="230"/>
      <c r="B424" s="495" t="s">
        <v>46</v>
      </c>
      <c r="C424" s="232"/>
      <c r="D424" s="456"/>
      <c r="E424" s="219"/>
      <c r="F424" s="220"/>
      <c r="G424" s="221"/>
      <c r="H424" s="221"/>
      <c r="I424" s="240"/>
      <c r="J424" s="223"/>
      <c r="K424" s="240"/>
      <c r="L424" s="240"/>
      <c r="M424" s="240"/>
      <c r="N424" s="239">
        <f t="shared" si="222"/>
        <v>598.587</v>
      </c>
      <c r="O424" s="239"/>
      <c r="P424" s="239">
        <f t="shared" si="223"/>
        <v>598.587</v>
      </c>
      <c r="Q424" s="239"/>
      <c r="R424" s="239">
        <v>598.587</v>
      </c>
      <c r="S424" s="239">
        <v>0</v>
      </c>
      <c r="T424" s="492"/>
      <c r="U424" s="493"/>
      <c r="V424" s="240">
        <f t="shared" si="215"/>
        <v>5724506178</v>
      </c>
      <c r="W424" s="240"/>
      <c r="X424" s="240">
        <v>5724506178</v>
      </c>
      <c r="Y424" s="240"/>
      <c r="Z424" s="241"/>
      <c r="AA424" s="241"/>
      <c r="AB424" s="241">
        <f t="shared" si="216"/>
        <v>5724506178</v>
      </c>
      <c r="AC424" s="242">
        <f t="shared" si="217"/>
        <v>598587000</v>
      </c>
      <c r="AD424" s="259"/>
      <c r="AE424" s="494">
        <v>598587000</v>
      </c>
      <c r="AF424" s="494"/>
      <c r="AG424" s="240"/>
      <c r="AH424" s="240">
        <f t="shared" si="218"/>
        <v>0</v>
      </c>
      <c r="AI424" s="240">
        <f t="shared" si="219"/>
        <v>0</v>
      </c>
      <c r="AJ424" s="240">
        <f t="shared" si="220"/>
        <v>0</v>
      </c>
      <c r="AK424" s="223"/>
      <c r="AL424" s="244"/>
      <c r="AM424" s="236">
        <f t="shared" si="221"/>
        <v>5125919178</v>
      </c>
      <c r="AN424" s="472"/>
    </row>
    <row r="425" spans="1:40" s="321" customFormat="1" ht="19.5" customHeight="1">
      <c r="A425" s="230"/>
      <c r="B425" s="495" t="s">
        <v>132</v>
      </c>
      <c r="C425" s="232"/>
      <c r="D425" s="456"/>
      <c r="E425" s="219"/>
      <c r="F425" s="220"/>
      <c r="G425" s="221"/>
      <c r="H425" s="221"/>
      <c r="I425" s="240"/>
      <c r="J425" s="223"/>
      <c r="K425" s="240"/>
      <c r="L425" s="240"/>
      <c r="M425" s="240"/>
      <c r="N425" s="239">
        <f t="shared" si="222"/>
        <v>234.315</v>
      </c>
      <c r="O425" s="239"/>
      <c r="P425" s="239">
        <f t="shared" si="223"/>
        <v>234.315</v>
      </c>
      <c r="Q425" s="239"/>
      <c r="R425" s="239">
        <v>234.315</v>
      </c>
      <c r="S425" s="239">
        <v>0</v>
      </c>
      <c r="T425" s="492"/>
      <c r="U425" s="493"/>
      <c r="V425" s="240">
        <f t="shared" si="215"/>
        <v>1917674000</v>
      </c>
      <c r="W425" s="240"/>
      <c r="X425" s="240">
        <v>1917674000</v>
      </c>
      <c r="Y425" s="240"/>
      <c r="Z425" s="241"/>
      <c r="AA425" s="241"/>
      <c r="AB425" s="241">
        <f t="shared" si="216"/>
        <v>1917674000</v>
      </c>
      <c r="AC425" s="242">
        <f t="shared" si="217"/>
        <v>234315000</v>
      </c>
      <c r="AD425" s="259"/>
      <c r="AE425" s="494">
        <v>234315000</v>
      </c>
      <c r="AF425" s="494"/>
      <c r="AG425" s="240"/>
      <c r="AH425" s="240">
        <f t="shared" si="218"/>
        <v>0</v>
      </c>
      <c r="AI425" s="240">
        <f t="shared" si="219"/>
        <v>0</v>
      </c>
      <c r="AJ425" s="240">
        <f t="shared" si="220"/>
        <v>0</v>
      </c>
      <c r="AK425" s="223"/>
      <c r="AL425" s="244"/>
      <c r="AM425" s="236">
        <f t="shared" si="221"/>
        <v>1683359000</v>
      </c>
      <c r="AN425" s="472"/>
    </row>
    <row r="426" spans="1:40" s="321" customFormat="1" ht="19.5" customHeight="1">
      <c r="A426" s="230"/>
      <c r="B426" s="495" t="s">
        <v>49</v>
      </c>
      <c r="C426" s="232"/>
      <c r="D426" s="456"/>
      <c r="E426" s="219"/>
      <c r="F426" s="220"/>
      <c r="G426" s="221"/>
      <c r="H426" s="221"/>
      <c r="I426" s="240"/>
      <c r="J426" s="223"/>
      <c r="K426" s="240"/>
      <c r="L426" s="240"/>
      <c r="M426" s="240"/>
      <c r="N426" s="239">
        <f t="shared" si="222"/>
        <v>2741.19</v>
      </c>
      <c r="O426" s="239"/>
      <c r="P426" s="239">
        <f t="shared" si="223"/>
        <v>2741.19</v>
      </c>
      <c r="Q426" s="239"/>
      <c r="R426" s="239">
        <v>2741.19</v>
      </c>
      <c r="S426" s="239">
        <v>0</v>
      </c>
      <c r="T426" s="492"/>
      <c r="U426" s="493"/>
      <c r="V426" s="240">
        <f t="shared" si="215"/>
        <v>4068718000</v>
      </c>
      <c r="W426" s="240"/>
      <c r="X426" s="240">
        <v>4068718000</v>
      </c>
      <c r="Y426" s="240"/>
      <c r="Z426" s="241"/>
      <c r="AA426" s="241"/>
      <c r="AB426" s="241">
        <f t="shared" si="216"/>
        <v>4068718000</v>
      </c>
      <c r="AC426" s="242">
        <f t="shared" si="217"/>
        <v>2741190000</v>
      </c>
      <c r="AD426" s="259"/>
      <c r="AE426" s="494">
        <v>2741190000</v>
      </c>
      <c r="AF426" s="494"/>
      <c r="AG426" s="240"/>
      <c r="AH426" s="240">
        <f t="shared" si="218"/>
        <v>1085898000</v>
      </c>
      <c r="AI426" s="240">
        <f t="shared" si="219"/>
        <v>1085898000</v>
      </c>
      <c r="AJ426" s="240">
        <f t="shared" si="220"/>
        <v>0</v>
      </c>
      <c r="AK426" s="240">
        <v>1085898000</v>
      </c>
      <c r="AL426" s="244"/>
      <c r="AM426" s="236">
        <f t="shared" si="221"/>
        <v>241630000</v>
      </c>
      <c r="AN426" s="472"/>
    </row>
    <row r="427" spans="1:40" s="321" customFormat="1" ht="19.5" customHeight="1">
      <c r="A427" s="230"/>
      <c r="B427" s="495" t="s">
        <v>133</v>
      </c>
      <c r="C427" s="232"/>
      <c r="D427" s="456"/>
      <c r="E427" s="219"/>
      <c r="F427" s="220"/>
      <c r="G427" s="221"/>
      <c r="H427" s="221"/>
      <c r="I427" s="240"/>
      <c r="J427" s="223"/>
      <c r="K427" s="240"/>
      <c r="L427" s="240"/>
      <c r="M427" s="240"/>
      <c r="N427" s="239">
        <f t="shared" si="222"/>
        <v>14908.829023</v>
      </c>
      <c r="O427" s="239"/>
      <c r="P427" s="239">
        <f t="shared" si="223"/>
        <v>14908.829023</v>
      </c>
      <c r="Q427" s="239"/>
      <c r="R427" s="239">
        <v>14908.829023</v>
      </c>
      <c r="S427" s="239">
        <v>0</v>
      </c>
      <c r="T427" s="492"/>
      <c r="U427" s="493"/>
      <c r="V427" s="240">
        <f t="shared" si="215"/>
        <v>15020630000</v>
      </c>
      <c r="W427" s="240"/>
      <c r="X427" s="240">
        <v>15020630000</v>
      </c>
      <c r="Y427" s="240"/>
      <c r="Z427" s="241"/>
      <c r="AA427" s="241"/>
      <c r="AB427" s="241">
        <f t="shared" si="216"/>
        <v>15020630000</v>
      </c>
      <c r="AC427" s="242">
        <f t="shared" si="217"/>
        <v>14908829023</v>
      </c>
      <c r="AD427" s="259"/>
      <c r="AE427" s="494">
        <v>14908829023</v>
      </c>
      <c r="AF427" s="494"/>
      <c r="AG427" s="240"/>
      <c r="AH427" s="240">
        <f t="shared" si="218"/>
        <v>111800000</v>
      </c>
      <c r="AI427" s="240">
        <f t="shared" si="219"/>
        <v>111800000</v>
      </c>
      <c r="AJ427" s="240">
        <f t="shared" si="220"/>
        <v>0</v>
      </c>
      <c r="AK427" s="240">
        <v>111800000</v>
      </c>
      <c r="AL427" s="244"/>
      <c r="AM427" s="236">
        <f t="shared" si="221"/>
        <v>977</v>
      </c>
      <c r="AN427" s="472"/>
    </row>
    <row r="428" spans="1:40" s="321" customFormat="1" ht="19.5" customHeight="1">
      <c r="A428" s="230"/>
      <c r="B428" s="495" t="s">
        <v>134</v>
      </c>
      <c r="C428" s="232"/>
      <c r="D428" s="456"/>
      <c r="E428" s="219"/>
      <c r="F428" s="220"/>
      <c r="G428" s="221"/>
      <c r="H428" s="221"/>
      <c r="I428" s="240"/>
      <c r="J428" s="223"/>
      <c r="K428" s="240"/>
      <c r="L428" s="240"/>
      <c r="M428" s="240"/>
      <c r="N428" s="239">
        <f t="shared" si="222"/>
        <v>3687.211</v>
      </c>
      <c r="O428" s="239"/>
      <c r="P428" s="239">
        <f t="shared" si="223"/>
        <v>3687.211</v>
      </c>
      <c r="Q428" s="239"/>
      <c r="R428" s="239">
        <v>3687.211</v>
      </c>
      <c r="S428" s="239">
        <v>0</v>
      </c>
      <c r="T428" s="492"/>
      <c r="U428" s="493"/>
      <c r="V428" s="240">
        <f t="shared" si="215"/>
        <v>3687211000</v>
      </c>
      <c r="W428" s="240"/>
      <c r="X428" s="240">
        <v>3687211000</v>
      </c>
      <c r="Y428" s="240"/>
      <c r="Z428" s="241"/>
      <c r="AA428" s="241"/>
      <c r="AB428" s="241">
        <f t="shared" si="216"/>
        <v>3687211000</v>
      </c>
      <c r="AC428" s="242">
        <f t="shared" si="217"/>
        <v>3687211000</v>
      </c>
      <c r="AD428" s="259"/>
      <c r="AE428" s="494">
        <v>3687211000</v>
      </c>
      <c r="AF428" s="494"/>
      <c r="AG428" s="240"/>
      <c r="AH428" s="240">
        <f t="shared" si="218"/>
        <v>0</v>
      </c>
      <c r="AI428" s="240">
        <f t="shared" si="219"/>
        <v>0</v>
      </c>
      <c r="AJ428" s="240">
        <f t="shared" si="220"/>
        <v>0</v>
      </c>
      <c r="AK428" s="223"/>
      <c r="AL428" s="244"/>
      <c r="AM428" s="236">
        <f t="shared" si="221"/>
        <v>0</v>
      </c>
      <c r="AN428" s="472"/>
    </row>
    <row r="429" spans="1:40" s="321" customFormat="1" ht="19.5" customHeight="1">
      <c r="A429" s="230"/>
      <c r="B429" s="495" t="s">
        <v>51</v>
      </c>
      <c r="C429" s="232"/>
      <c r="D429" s="456"/>
      <c r="E429" s="219"/>
      <c r="F429" s="220"/>
      <c r="G429" s="221"/>
      <c r="H429" s="221"/>
      <c r="I429" s="240"/>
      <c r="J429" s="223"/>
      <c r="K429" s="240"/>
      <c r="L429" s="240"/>
      <c r="M429" s="240"/>
      <c r="N429" s="239">
        <f t="shared" si="222"/>
        <v>839.874</v>
      </c>
      <c r="O429" s="239"/>
      <c r="P429" s="239">
        <f t="shared" si="223"/>
        <v>839.874</v>
      </c>
      <c r="Q429" s="239"/>
      <c r="R429" s="239">
        <v>839.874</v>
      </c>
      <c r="S429" s="239">
        <v>0</v>
      </c>
      <c r="T429" s="492"/>
      <c r="U429" s="493"/>
      <c r="V429" s="240">
        <f t="shared" si="215"/>
        <v>1088627000</v>
      </c>
      <c r="W429" s="240"/>
      <c r="X429" s="240">
        <v>1088627000</v>
      </c>
      <c r="Y429" s="240"/>
      <c r="Z429" s="241"/>
      <c r="AA429" s="241"/>
      <c r="AB429" s="241">
        <f t="shared" si="216"/>
        <v>1088627000</v>
      </c>
      <c r="AC429" s="242">
        <f t="shared" si="217"/>
        <v>839874000</v>
      </c>
      <c r="AD429" s="259"/>
      <c r="AE429" s="494">
        <v>839874000</v>
      </c>
      <c r="AF429" s="494"/>
      <c r="AG429" s="240"/>
      <c r="AH429" s="240">
        <f t="shared" si="218"/>
        <v>0</v>
      </c>
      <c r="AI429" s="240">
        <f t="shared" si="219"/>
        <v>0</v>
      </c>
      <c r="AJ429" s="240">
        <f t="shared" si="220"/>
        <v>0</v>
      </c>
      <c r="AK429" s="223"/>
      <c r="AL429" s="244"/>
      <c r="AM429" s="236">
        <f t="shared" si="221"/>
        <v>248753000</v>
      </c>
      <c r="AN429" s="472"/>
    </row>
    <row r="430" spans="1:40" s="321" customFormat="1" ht="19.5" customHeight="1">
      <c r="A430" s="230"/>
      <c r="B430" s="495" t="s">
        <v>135</v>
      </c>
      <c r="C430" s="232"/>
      <c r="D430" s="456"/>
      <c r="E430" s="219"/>
      <c r="F430" s="220"/>
      <c r="G430" s="221"/>
      <c r="H430" s="221"/>
      <c r="I430" s="240"/>
      <c r="J430" s="223"/>
      <c r="K430" s="240"/>
      <c r="L430" s="240"/>
      <c r="M430" s="240"/>
      <c r="N430" s="239">
        <f t="shared" si="222"/>
        <v>1497.925</v>
      </c>
      <c r="O430" s="239"/>
      <c r="P430" s="239">
        <f t="shared" si="223"/>
        <v>1497.925</v>
      </c>
      <c r="Q430" s="239"/>
      <c r="R430" s="239">
        <v>1497.925</v>
      </c>
      <c r="S430" s="239">
        <v>0</v>
      </c>
      <c r="T430" s="492"/>
      <c r="U430" s="493"/>
      <c r="V430" s="240">
        <f t="shared" si="215"/>
        <v>1866000000</v>
      </c>
      <c r="W430" s="240"/>
      <c r="X430" s="240">
        <v>1866000000</v>
      </c>
      <c r="Y430" s="240"/>
      <c r="Z430" s="241"/>
      <c r="AA430" s="241"/>
      <c r="AB430" s="241">
        <f t="shared" si="216"/>
        <v>1866000000</v>
      </c>
      <c r="AC430" s="242">
        <f t="shared" si="217"/>
        <v>1497925000</v>
      </c>
      <c r="AD430" s="259"/>
      <c r="AE430" s="494">
        <v>1497925000</v>
      </c>
      <c r="AF430" s="494"/>
      <c r="AG430" s="240"/>
      <c r="AH430" s="240">
        <f t="shared" si="218"/>
        <v>0</v>
      </c>
      <c r="AI430" s="240">
        <f t="shared" si="219"/>
        <v>0</v>
      </c>
      <c r="AJ430" s="240">
        <f t="shared" si="220"/>
        <v>0</v>
      </c>
      <c r="AK430" s="223"/>
      <c r="AL430" s="244"/>
      <c r="AM430" s="236">
        <f t="shared" si="221"/>
        <v>368075000</v>
      </c>
      <c r="AN430" s="472"/>
    </row>
    <row r="431" spans="1:40" s="321" customFormat="1" ht="19.5" customHeight="1">
      <c r="A431" s="230"/>
      <c r="B431" s="495" t="s">
        <v>136</v>
      </c>
      <c r="C431" s="232"/>
      <c r="D431" s="456"/>
      <c r="E431" s="219"/>
      <c r="F431" s="220"/>
      <c r="G431" s="221"/>
      <c r="H431" s="221"/>
      <c r="I431" s="240"/>
      <c r="J431" s="223"/>
      <c r="K431" s="240"/>
      <c r="L431" s="240"/>
      <c r="M431" s="240"/>
      <c r="N431" s="239">
        <f t="shared" si="222"/>
        <v>131.9992</v>
      </c>
      <c r="O431" s="239"/>
      <c r="P431" s="239">
        <f t="shared" si="223"/>
        <v>131.9992</v>
      </c>
      <c r="Q431" s="239"/>
      <c r="R431" s="239">
        <v>131.9992</v>
      </c>
      <c r="S431" s="239">
        <v>0</v>
      </c>
      <c r="T431" s="492"/>
      <c r="U431" s="493"/>
      <c r="V431" s="240">
        <f t="shared" si="215"/>
        <v>1271000000</v>
      </c>
      <c r="W431" s="240"/>
      <c r="X431" s="240">
        <v>1271000000</v>
      </c>
      <c r="Y431" s="240"/>
      <c r="Z431" s="241"/>
      <c r="AA431" s="241"/>
      <c r="AB431" s="241">
        <f t="shared" si="216"/>
        <v>1271000000</v>
      </c>
      <c r="AC431" s="242">
        <f t="shared" si="217"/>
        <v>131999200</v>
      </c>
      <c r="AD431" s="259"/>
      <c r="AE431" s="494">
        <v>131999200</v>
      </c>
      <c r="AF431" s="494"/>
      <c r="AG431" s="240"/>
      <c r="AH431" s="240">
        <f t="shared" si="218"/>
        <v>0</v>
      </c>
      <c r="AI431" s="240">
        <f t="shared" si="219"/>
        <v>0</v>
      </c>
      <c r="AJ431" s="240">
        <f t="shared" si="220"/>
        <v>0</v>
      </c>
      <c r="AK431" s="223"/>
      <c r="AL431" s="244"/>
      <c r="AM431" s="236">
        <f t="shared" si="221"/>
        <v>1139000800</v>
      </c>
      <c r="AN431" s="472"/>
    </row>
    <row r="432" spans="1:40" s="321" customFormat="1" ht="19.5" customHeight="1">
      <c r="A432" s="230"/>
      <c r="B432" s="495" t="s">
        <v>137</v>
      </c>
      <c r="C432" s="232"/>
      <c r="D432" s="456"/>
      <c r="E432" s="219"/>
      <c r="F432" s="220"/>
      <c r="G432" s="221"/>
      <c r="H432" s="221"/>
      <c r="I432" s="240"/>
      <c r="J432" s="223"/>
      <c r="K432" s="240"/>
      <c r="L432" s="240"/>
      <c r="M432" s="240"/>
      <c r="N432" s="239">
        <f t="shared" si="222"/>
        <v>9.079</v>
      </c>
      <c r="O432" s="239"/>
      <c r="P432" s="239">
        <f t="shared" si="223"/>
        <v>9.079</v>
      </c>
      <c r="Q432" s="239"/>
      <c r="R432" s="239">
        <v>9.079</v>
      </c>
      <c r="S432" s="239">
        <v>0</v>
      </c>
      <c r="T432" s="492"/>
      <c r="U432" s="493"/>
      <c r="V432" s="240">
        <f t="shared" si="215"/>
        <v>1090000000</v>
      </c>
      <c r="W432" s="240"/>
      <c r="X432" s="240">
        <v>1090000000</v>
      </c>
      <c r="Y432" s="240"/>
      <c r="Z432" s="241"/>
      <c r="AA432" s="241"/>
      <c r="AB432" s="241">
        <f t="shared" si="216"/>
        <v>1090000000</v>
      </c>
      <c r="AC432" s="242">
        <f t="shared" si="217"/>
        <v>9079000</v>
      </c>
      <c r="AD432" s="259"/>
      <c r="AE432" s="494">
        <v>9079000</v>
      </c>
      <c r="AF432" s="494"/>
      <c r="AG432" s="240"/>
      <c r="AH432" s="240">
        <f t="shared" si="218"/>
        <v>0</v>
      </c>
      <c r="AI432" s="240">
        <f t="shared" si="219"/>
        <v>0</v>
      </c>
      <c r="AJ432" s="240">
        <f t="shared" si="220"/>
        <v>0</v>
      </c>
      <c r="AK432" s="223"/>
      <c r="AL432" s="244"/>
      <c r="AM432" s="236">
        <f t="shared" si="221"/>
        <v>1080921000</v>
      </c>
      <c r="AN432" s="472"/>
    </row>
    <row r="433" spans="1:40" s="321" customFormat="1" ht="19.5" customHeight="1">
      <c r="A433" s="230"/>
      <c r="B433" s="495" t="s">
        <v>138</v>
      </c>
      <c r="C433" s="232"/>
      <c r="D433" s="456"/>
      <c r="E433" s="219"/>
      <c r="F433" s="220"/>
      <c r="G433" s="221"/>
      <c r="H433" s="221"/>
      <c r="I433" s="240"/>
      <c r="J433" s="223"/>
      <c r="K433" s="240"/>
      <c r="L433" s="240"/>
      <c r="M433" s="240"/>
      <c r="N433" s="239">
        <f t="shared" si="222"/>
        <v>28.08</v>
      </c>
      <c r="O433" s="239"/>
      <c r="P433" s="239">
        <f t="shared" si="223"/>
        <v>28.08</v>
      </c>
      <c r="Q433" s="239"/>
      <c r="R433" s="239">
        <v>28.08</v>
      </c>
      <c r="S433" s="239">
        <v>0</v>
      </c>
      <c r="T433" s="492"/>
      <c r="U433" s="493"/>
      <c r="V433" s="240">
        <f t="shared" si="215"/>
        <v>190000000</v>
      </c>
      <c r="W433" s="240"/>
      <c r="X433" s="240">
        <v>190000000</v>
      </c>
      <c r="Y433" s="240"/>
      <c r="Z433" s="241"/>
      <c r="AA433" s="241"/>
      <c r="AB433" s="241">
        <f t="shared" si="216"/>
        <v>190000000</v>
      </c>
      <c r="AC433" s="242">
        <f t="shared" si="217"/>
        <v>28080000</v>
      </c>
      <c r="AD433" s="259"/>
      <c r="AE433" s="494">
        <v>28080000</v>
      </c>
      <c r="AF433" s="494"/>
      <c r="AG433" s="240"/>
      <c r="AH433" s="240">
        <f t="shared" si="218"/>
        <v>0</v>
      </c>
      <c r="AI433" s="240">
        <f t="shared" si="219"/>
        <v>0</v>
      </c>
      <c r="AJ433" s="240">
        <f t="shared" si="220"/>
        <v>0</v>
      </c>
      <c r="AK433" s="223"/>
      <c r="AL433" s="244"/>
      <c r="AM433" s="236">
        <f t="shared" si="221"/>
        <v>161920000</v>
      </c>
      <c r="AN433" s="472"/>
    </row>
    <row r="434" spans="1:40" s="321" customFormat="1" ht="19.5" customHeight="1">
      <c r="A434" s="230"/>
      <c r="B434" s="495" t="s">
        <v>139</v>
      </c>
      <c r="C434" s="232"/>
      <c r="D434" s="456"/>
      <c r="E434" s="219"/>
      <c r="F434" s="220"/>
      <c r="G434" s="221"/>
      <c r="H434" s="221"/>
      <c r="I434" s="240"/>
      <c r="J434" s="223"/>
      <c r="K434" s="240"/>
      <c r="L434" s="240"/>
      <c r="M434" s="240"/>
      <c r="N434" s="239">
        <f t="shared" si="222"/>
        <v>338.481</v>
      </c>
      <c r="O434" s="239"/>
      <c r="P434" s="239">
        <f t="shared" si="223"/>
        <v>338.481</v>
      </c>
      <c r="Q434" s="239"/>
      <c r="R434" s="239">
        <v>338.481</v>
      </c>
      <c r="S434" s="239">
        <v>0</v>
      </c>
      <c r="T434" s="492"/>
      <c r="U434" s="493"/>
      <c r="V434" s="240">
        <f t="shared" si="215"/>
        <v>1034414000</v>
      </c>
      <c r="W434" s="240"/>
      <c r="X434" s="240">
        <v>1034414000</v>
      </c>
      <c r="Y434" s="240"/>
      <c r="Z434" s="241"/>
      <c r="AA434" s="241"/>
      <c r="AB434" s="241">
        <f t="shared" si="216"/>
        <v>1034414000</v>
      </c>
      <c r="AC434" s="242">
        <f t="shared" si="217"/>
        <v>338481000</v>
      </c>
      <c r="AD434" s="259"/>
      <c r="AE434" s="494">
        <v>338481000</v>
      </c>
      <c r="AF434" s="494"/>
      <c r="AG434" s="240"/>
      <c r="AH434" s="240">
        <f t="shared" si="218"/>
        <v>0</v>
      </c>
      <c r="AI434" s="240">
        <f t="shared" si="219"/>
        <v>0</v>
      </c>
      <c r="AJ434" s="240">
        <f t="shared" si="220"/>
        <v>0</v>
      </c>
      <c r="AK434" s="223"/>
      <c r="AL434" s="244"/>
      <c r="AM434" s="236">
        <f t="shared" si="221"/>
        <v>695933000</v>
      </c>
      <c r="AN434" s="472"/>
    </row>
    <row r="435" spans="1:40" s="321" customFormat="1" ht="19.5" customHeight="1">
      <c r="A435" s="230"/>
      <c r="B435" s="495" t="s">
        <v>140</v>
      </c>
      <c r="C435" s="232"/>
      <c r="D435" s="456"/>
      <c r="E435" s="219"/>
      <c r="F435" s="220"/>
      <c r="G435" s="221"/>
      <c r="H435" s="221"/>
      <c r="I435" s="240"/>
      <c r="J435" s="223"/>
      <c r="K435" s="240"/>
      <c r="L435" s="240"/>
      <c r="M435" s="240"/>
      <c r="N435" s="239">
        <f>SUM(P435,U435)</f>
        <v>648.3</v>
      </c>
      <c r="O435" s="239"/>
      <c r="P435" s="239">
        <v>648.3</v>
      </c>
      <c r="Q435" s="239"/>
      <c r="R435" s="239"/>
      <c r="S435" s="239"/>
      <c r="T435" s="492"/>
      <c r="U435" s="493"/>
      <c r="V435" s="240"/>
      <c r="W435" s="240"/>
      <c r="X435" s="240"/>
      <c r="Y435" s="240"/>
      <c r="Z435" s="241"/>
      <c r="AA435" s="241"/>
      <c r="AB435" s="241"/>
      <c r="AC435" s="242"/>
      <c r="AD435" s="259"/>
      <c r="AE435" s="494"/>
      <c r="AF435" s="494"/>
      <c r="AG435" s="240"/>
      <c r="AH435" s="240"/>
      <c r="AI435" s="240"/>
      <c r="AJ435" s="240"/>
      <c r="AK435" s="223"/>
      <c r="AL435" s="244"/>
      <c r="AM435" s="236"/>
      <c r="AN435" s="472"/>
    </row>
    <row r="436" spans="1:40" s="321" customFormat="1" ht="19.5" customHeight="1">
      <c r="A436" s="216">
        <v>11</v>
      </c>
      <c r="B436" s="286" t="s">
        <v>141</v>
      </c>
      <c r="C436" s="218"/>
      <c r="D436" s="218"/>
      <c r="E436" s="219"/>
      <c r="F436" s="221"/>
      <c r="G436" s="221"/>
      <c r="H436" s="221"/>
      <c r="I436" s="223">
        <f>SUM(I437,I439)</f>
        <v>20000</v>
      </c>
      <c r="J436" s="223">
        <f aca="true" t="shared" si="224" ref="J436:U436">SUM(J437,J439)</f>
        <v>0</v>
      </c>
      <c r="K436" s="223">
        <f t="shared" si="224"/>
        <v>20000</v>
      </c>
      <c r="L436" s="222">
        <f t="shared" si="224"/>
        <v>0</v>
      </c>
      <c r="M436" s="222">
        <f t="shared" si="224"/>
        <v>0</v>
      </c>
      <c r="N436" s="222">
        <f t="shared" si="224"/>
        <v>11639.853</v>
      </c>
      <c r="O436" s="222">
        <f t="shared" si="224"/>
        <v>0</v>
      </c>
      <c r="P436" s="222">
        <f t="shared" si="224"/>
        <v>11639.853</v>
      </c>
      <c r="Q436" s="222">
        <f t="shared" si="224"/>
        <v>11545.443</v>
      </c>
      <c r="R436" s="222">
        <f t="shared" si="224"/>
        <v>0</v>
      </c>
      <c r="S436" s="222">
        <f t="shared" si="224"/>
        <v>94.41</v>
      </c>
      <c r="T436" s="222">
        <f t="shared" si="224"/>
        <v>0</v>
      </c>
      <c r="U436" s="222">
        <f t="shared" si="224"/>
        <v>0</v>
      </c>
      <c r="V436" s="223">
        <f aca="true" t="shared" si="225" ref="V436:AL436">SUM(V437:V440)</f>
        <v>97552399.99999952</v>
      </c>
      <c r="W436" s="223">
        <f t="shared" si="225"/>
        <v>97552399.99999952</v>
      </c>
      <c r="X436" s="223">
        <f t="shared" si="225"/>
        <v>0</v>
      </c>
      <c r="Y436" s="223">
        <f t="shared" si="225"/>
        <v>20000000000</v>
      </c>
      <c r="Z436" s="223">
        <f t="shared" si="225"/>
        <v>0</v>
      </c>
      <c r="AA436" s="223">
        <f t="shared" si="225"/>
        <v>0</v>
      </c>
      <c r="AB436" s="223">
        <f t="shared" si="225"/>
        <v>20000000000</v>
      </c>
      <c r="AC436" s="223">
        <f t="shared" si="225"/>
        <v>11639853000</v>
      </c>
      <c r="AD436" s="223">
        <f t="shared" si="225"/>
        <v>11545443000</v>
      </c>
      <c r="AE436" s="223">
        <f t="shared" si="225"/>
        <v>0</v>
      </c>
      <c r="AF436" s="223">
        <f t="shared" si="225"/>
        <v>94410000</v>
      </c>
      <c r="AG436" s="223">
        <f t="shared" si="225"/>
        <v>0</v>
      </c>
      <c r="AH436" s="223">
        <f t="shared" si="225"/>
        <v>8457699400</v>
      </c>
      <c r="AI436" s="223">
        <f t="shared" si="225"/>
        <v>3142399.999999523</v>
      </c>
      <c r="AJ436" s="223">
        <f t="shared" si="225"/>
        <v>3142399.999999523</v>
      </c>
      <c r="AK436" s="223">
        <f t="shared" si="225"/>
        <v>0</v>
      </c>
      <c r="AL436" s="223">
        <f t="shared" si="225"/>
        <v>8454557000</v>
      </c>
      <c r="AM436" s="221">
        <f>SUM(AM437:AM440)</f>
        <v>0</v>
      </c>
      <c r="AN436" s="224"/>
    </row>
    <row r="437" spans="1:40" s="321" customFormat="1" ht="19.5" customHeight="1">
      <c r="A437" s="216"/>
      <c r="B437" s="217" t="s">
        <v>1254</v>
      </c>
      <c r="C437" s="218"/>
      <c r="D437" s="218"/>
      <c r="E437" s="219"/>
      <c r="F437" s="221"/>
      <c r="G437" s="221"/>
      <c r="H437" s="221"/>
      <c r="I437" s="292">
        <f>SUM(I438)</f>
        <v>7680</v>
      </c>
      <c r="J437" s="240">
        <f aca="true" t="shared" si="226" ref="J437:U437">SUM(J438)</f>
        <v>0</v>
      </c>
      <c r="K437" s="292">
        <f t="shared" si="226"/>
        <v>7680</v>
      </c>
      <c r="L437" s="282">
        <f t="shared" si="226"/>
        <v>0</v>
      </c>
      <c r="M437" s="282">
        <f t="shared" si="226"/>
        <v>0</v>
      </c>
      <c r="N437" s="282">
        <f t="shared" si="226"/>
        <v>7774.41</v>
      </c>
      <c r="O437" s="282">
        <f t="shared" si="226"/>
        <v>0</v>
      </c>
      <c r="P437" s="282">
        <f t="shared" si="226"/>
        <v>7774.41</v>
      </c>
      <c r="Q437" s="282">
        <f t="shared" si="226"/>
        <v>7680</v>
      </c>
      <c r="R437" s="282"/>
      <c r="S437" s="282">
        <f t="shared" si="226"/>
        <v>94.41</v>
      </c>
      <c r="T437" s="282">
        <f t="shared" si="226"/>
        <v>0</v>
      </c>
      <c r="U437" s="282">
        <f t="shared" si="226"/>
        <v>0</v>
      </c>
      <c r="V437" s="240"/>
      <c r="W437" s="240"/>
      <c r="X437" s="240"/>
      <c r="Y437" s="240"/>
      <c r="Z437" s="223"/>
      <c r="AA437" s="223"/>
      <c r="AB437" s="223"/>
      <c r="AC437" s="223"/>
      <c r="AD437" s="223"/>
      <c r="AE437" s="223"/>
      <c r="AF437" s="223"/>
      <c r="AG437" s="240"/>
      <c r="AH437" s="240"/>
      <c r="AI437" s="240"/>
      <c r="AJ437" s="240"/>
      <c r="AK437" s="228"/>
      <c r="AL437" s="244"/>
      <c r="AM437" s="221"/>
      <c r="AN437" s="224"/>
    </row>
    <row r="438" spans="1:40" s="321" customFormat="1" ht="19.5" customHeight="1">
      <c r="A438" s="230"/>
      <c r="B438" s="323" t="s">
        <v>142</v>
      </c>
      <c r="C438" s="232" t="s">
        <v>1050</v>
      </c>
      <c r="D438" s="232" t="s">
        <v>1362</v>
      </c>
      <c r="E438" s="234" t="s">
        <v>143</v>
      </c>
      <c r="F438" s="235">
        <v>50000</v>
      </c>
      <c r="G438" s="236">
        <v>32320</v>
      </c>
      <c r="H438" s="236">
        <v>32320</v>
      </c>
      <c r="I438" s="240">
        <f>K438+M438</f>
        <v>7680</v>
      </c>
      <c r="J438" s="241"/>
      <c r="K438" s="240">
        <v>7680</v>
      </c>
      <c r="L438" s="237"/>
      <c r="M438" s="237"/>
      <c r="N438" s="239">
        <f>Q438+R438+S438</f>
        <v>7774.41</v>
      </c>
      <c r="O438" s="239"/>
      <c r="P438" s="239">
        <f>SUM(Q438:T438)</f>
        <v>7774.41</v>
      </c>
      <c r="Q438" s="239">
        <v>7680</v>
      </c>
      <c r="R438" s="239"/>
      <c r="S438" s="239">
        <v>94.41</v>
      </c>
      <c r="T438" s="488"/>
      <c r="U438" s="489"/>
      <c r="V438" s="240">
        <f>W438+X438</f>
        <v>97552399.99999952</v>
      </c>
      <c r="W438" s="240">
        <v>97552399.99999952</v>
      </c>
      <c r="X438" s="240"/>
      <c r="Y438" s="240">
        <v>7680000000</v>
      </c>
      <c r="Z438" s="302"/>
      <c r="AA438" s="302"/>
      <c r="AB438" s="241">
        <f>Y438+Z438-AA438+X438</f>
        <v>7680000000</v>
      </c>
      <c r="AC438" s="242">
        <f>AD438+AE438+AF438</f>
        <v>7774410000</v>
      </c>
      <c r="AD438" s="259">
        <v>7680000000</v>
      </c>
      <c r="AE438" s="302"/>
      <c r="AF438" s="476">
        <v>94410000</v>
      </c>
      <c r="AG438" s="240"/>
      <c r="AH438" s="240">
        <f>AI438+AL438</f>
        <v>3142399.999999523</v>
      </c>
      <c r="AI438" s="240">
        <f>SUM(AJ438:AK438)</f>
        <v>3142399.999999523</v>
      </c>
      <c r="AJ438" s="240">
        <f>W438-AF438-AG438</f>
        <v>3142399.999999523</v>
      </c>
      <c r="AK438" s="302"/>
      <c r="AL438" s="244"/>
      <c r="AM438" s="236">
        <f>AB438-AD438-AE438-AK438-AL438</f>
        <v>0</v>
      </c>
      <c r="AN438" s="472" t="s">
        <v>1649</v>
      </c>
    </row>
    <row r="439" spans="1:40" s="321" customFormat="1" ht="19.5" customHeight="1">
      <c r="A439" s="216"/>
      <c r="B439" s="217" t="s">
        <v>1698</v>
      </c>
      <c r="C439" s="218"/>
      <c r="D439" s="218"/>
      <c r="E439" s="219"/>
      <c r="F439" s="220"/>
      <c r="G439" s="221"/>
      <c r="H439" s="221"/>
      <c r="I439" s="292">
        <f aca="true" t="shared" si="227" ref="I439:Q439">SUM(I440)</f>
        <v>12320</v>
      </c>
      <c r="J439" s="240">
        <f t="shared" si="227"/>
        <v>0</v>
      </c>
      <c r="K439" s="292">
        <f t="shared" si="227"/>
        <v>12320</v>
      </c>
      <c r="L439" s="282">
        <f t="shared" si="227"/>
        <v>0</v>
      </c>
      <c r="M439" s="282">
        <f t="shared" si="227"/>
        <v>0</v>
      </c>
      <c r="N439" s="282">
        <f t="shared" si="227"/>
        <v>3865.443</v>
      </c>
      <c r="O439" s="282">
        <f t="shared" si="227"/>
        <v>0</v>
      </c>
      <c r="P439" s="282">
        <f t="shared" si="227"/>
        <v>3865.443</v>
      </c>
      <c r="Q439" s="282">
        <f t="shared" si="227"/>
        <v>3865.443</v>
      </c>
      <c r="R439" s="282"/>
      <c r="S439" s="282"/>
      <c r="T439" s="282"/>
      <c r="U439" s="282"/>
      <c r="V439" s="240"/>
      <c r="W439" s="240"/>
      <c r="X439" s="240"/>
      <c r="Y439" s="240"/>
      <c r="Z439" s="302"/>
      <c r="AA439" s="302"/>
      <c r="AB439" s="302"/>
      <c r="AC439" s="302"/>
      <c r="AD439" s="302"/>
      <c r="AE439" s="302"/>
      <c r="AF439" s="302"/>
      <c r="AG439" s="240"/>
      <c r="AH439" s="240"/>
      <c r="AI439" s="240"/>
      <c r="AJ439" s="240"/>
      <c r="AK439" s="302"/>
      <c r="AL439" s="244"/>
      <c r="AM439" s="235"/>
      <c r="AN439" s="224"/>
    </row>
    <row r="440" spans="1:40" s="321" customFormat="1" ht="19.5" customHeight="1">
      <c r="A440" s="230"/>
      <c r="B440" s="323" t="s">
        <v>144</v>
      </c>
      <c r="C440" s="232" t="s">
        <v>1050</v>
      </c>
      <c r="D440" s="232" t="s">
        <v>145</v>
      </c>
      <c r="E440" s="234"/>
      <c r="F440" s="235">
        <v>111000</v>
      </c>
      <c r="G440" s="236"/>
      <c r="H440" s="236"/>
      <c r="I440" s="240">
        <f>K440+M440</f>
        <v>12320</v>
      </c>
      <c r="J440" s="241"/>
      <c r="K440" s="240">
        <v>12320</v>
      </c>
      <c r="L440" s="237"/>
      <c r="M440" s="237"/>
      <c r="N440" s="239">
        <f>Q440+R440+S440</f>
        <v>3865.443</v>
      </c>
      <c r="O440" s="239"/>
      <c r="P440" s="239">
        <f>SUM(Q440:T440)</f>
        <v>3865.443</v>
      </c>
      <c r="Q440" s="239">
        <v>3865.443</v>
      </c>
      <c r="R440" s="239"/>
      <c r="S440" s="239"/>
      <c r="T440" s="301"/>
      <c r="U440" s="235"/>
      <c r="V440" s="240">
        <f>W440+X440</f>
        <v>0</v>
      </c>
      <c r="W440" s="240"/>
      <c r="X440" s="240"/>
      <c r="Y440" s="240">
        <v>12320000000</v>
      </c>
      <c r="Z440" s="302"/>
      <c r="AA440" s="302"/>
      <c r="AB440" s="241">
        <f>Y440+Z440-AA440+X440</f>
        <v>12320000000</v>
      </c>
      <c r="AC440" s="242">
        <f>AD440+AE440+AF440</f>
        <v>3865443000</v>
      </c>
      <c r="AD440" s="259">
        <v>3865443000</v>
      </c>
      <c r="AE440" s="302"/>
      <c r="AF440" s="302"/>
      <c r="AG440" s="240"/>
      <c r="AH440" s="240">
        <f>AI440+AL440</f>
        <v>8454557000</v>
      </c>
      <c r="AI440" s="240">
        <f>SUM(AJ440:AK440)</f>
        <v>0</v>
      </c>
      <c r="AJ440" s="240">
        <f>W440-AF440-AG440</f>
        <v>0</v>
      </c>
      <c r="AK440" s="302"/>
      <c r="AL440" s="244">
        <v>8454557000</v>
      </c>
      <c r="AM440" s="236">
        <f>AB440-AD440-AE440-AK440-AL440</f>
        <v>0</v>
      </c>
      <c r="AN440" s="472" t="s">
        <v>1649</v>
      </c>
    </row>
    <row r="441" spans="1:40" s="474" customFormat="1" ht="26.25" customHeight="1">
      <c r="A441" s="275">
        <v>12</v>
      </c>
      <c r="B441" s="498" t="s">
        <v>146</v>
      </c>
      <c r="C441" s="288"/>
      <c r="D441" s="288"/>
      <c r="E441" s="289"/>
      <c r="F441" s="290"/>
      <c r="G441" s="291"/>
      <c r="H441" s="291"/>
      <c r="I441" s="292">
        <f>SUM(I442)</f>
        <v>1949</v>
      </c>
      <c r="J441" s="292">
        <f aca="true" t="shared" si="228" ref="J441:U442">SUM(J442)</f>
        <v>0</v>
      </c>
      <c r="K441" s="292">
        <f t="shared" si="228"/>
        <v>1949</v>
      </c>
      <c r="L441" s="292">
        <f t="shared" si="228"/>
        <v>0</v>
      </c>
      <c r="M441" s="292">
        <f t="shared" si="228"/>
        <v>0</v>
      </c>
      <c r="N441" s="282">
        <f t="shared" si="228"/>
        <v>862.825</v>
      </c>
      <c r="O441" s="282">
        <f t="shared" si="228"/>
        <v>0</v>
      </c>
      <c r="P441" s="282">
        <f t="shared" si="228"/>
        <v>862.825</v>
      </c>
      <c r="Q441" s="282">
        <f t="shared" si="228"/>
        <v>862.825</v>
      </c>
      <c r="R441" s="292">
        <f t="shared" si="228"/>
        <v>0</v>
      </c>
      <c r="S441" s="292">
        <f t="shared" si="228"/>
        <v>0</v>
      </c>
      <c r="T441" s="292">
        <f t="shared" si="228"/>
        <v>0</v>
      </c>
      <c r="U441" s="292">
        <f t="shared" si="228"/>
        <v>0</v>
      </c>
      <c r="V441" s="292">
        <f aca="true" t="shared" si="229" ref="V441:AK441">SUM(V442:V443)</f>
        <v>47557000</v>
      </c>
      <c r="W441" s="292">
        <f t="shared" si="229"/>
        <v>0</v>
      </c>
      <c r="X441" s="292">
        <f t="shared" si="229"/>
        <v>47557000</v>
      </c>
      <c r="Y441" s="292">
        <f t="shared" si="229"/>
        <v>1949000000</v>
      </c>
      <c r="Z441" s="292">
        <f t="shared" si="229"/>
        <v>0</v>
      </c>
      <c r="AA441" s="292">
        <f t="shared" si="229"/>
        <v>0</v>
      </c>
      <c r="AB441" s="292">
        <f t="shared" si="229"/>
        <v>1996557000</v>
      </c>
      <c r="AC441" s="292">
        <f t="shared" si="229"/>
        <v>862825000</v>
      </c>
      <c r="AD441" s="292">
        <f t="shared" si="229"/>
        <v>862825000</v>
      </c>
      <c r="AE441" s="292">
        <f t="shared" si="229"/>
        <v>0</v>
      </c>
      <c r="AF441" s="292">
        <f t="shared" si="229"/>
        <v>0</v>
      </c>
      <c r="AG441" s="292">
        <f t="shared" si="229"/>
        <v>0</v>
      </c>
      <c r="AH441" s="292">
        <f t="shared" si="229"/>
        <v>0</v>
      </c>
      <c r="AI441" s="292">
        <f t="shared" si="229"/>
        <v>0</v>
      </c>
      <c r="AJ441" s="292">
        <f t="shared" si="229"/>
        <v>0</v>
      </c>
      <c r="AK441" s="292">
        <f t="shared" si="229"/>
        <v>0</v>
      </c>
      <c r="AL441" s="291"/>
      <c r="AM441" s="291">
        <f>SUM(AM442:AM443)</f>
        <v>1133732000</v>
      </c>
      <c r="AN441" s="293"/>
    </row>
    <row r="442" spans="1:40" s="474" customFormat="1" ht="19.5" customHeight="1">
      <c r="A442" s="275"/>
      <c r="B442" s="498" t="s">
        <v>1254</v>
      </c>
      <c r="C442" s="288"/>
      <c r="D442" s="288"/>
      <c r="E442" s="289"/>
      <c r="F442" s="290"/>
      <c r="G442" s="291"/>
      <c r="H442" s="291"/>
      <c r="I442" s="292">
        <f>SUM(I443)</f>
        <v>1949</v>
      </c>
      <c r="J442" s="292">
        <f t="shared" si="228"/>
        <v>0</v>
      </c>
      <c r="K442" s="292">
        <f t="shared" si="228"/>
        <v>1949</v>
      </c>
      <c r="L442" s="292">
        <f t="shared" si="228"/>
        <v>0</v>
      </c>
      <c r="M442" s="292">
        <f t="shared" si="228"/>
        <v>0</v>
      </c>
      <c r="N442" s="282">
        <f t="shared" si="228"/>
        <v>862.825</v>
      </c>
      <c r="O442" s="282">
        <f t="shared" si="228"/>
        <v>0</v>
      </c>
      <c r="P442" s="282">
        <f t="shared" si="228"/>
        <v>862.825</v>
      </c>
      <c r="Q442" s="282">
        <f t="shared" si="228"/>
        <v>862.825</v>
      </c>
      <c r="R442" s="282">
        <f t="shared" si="228"/>
        <v>0</v>
      </c>
      <c r="S442" s="282">
        <f t="shared" si="228"/>
        <v>0</v>
      </c>
      <c r="T442" s="282">
        <f t="shared" si="228"/>
        <v>0</v>
      </c>
      <c r="U442" s="282">
        <f t="shared" si="228"/>
        <v>0</v>
      </c>
      <c r="V442" s="240"/>
      <c r="W442" s="240"/>
      <c r="X442" s="240"/>
      <c r="Y442" s="240"/>
      <c r="Z442" s="297"/>
      <c r="AA442" s="297"/>
      <c r="AB442" s="297"/>
      <c r="AC442" s="297"/>
      <c r="AD442" s="297"/>
      <c r="AE442" s="297"/>
      <c r="AF442" s="297"/>
      <c r="AG442" s="240"/>
      <c r="AH442" s="240"/>
      <c r="AI442" s="240"/>
      <c r="AJ442" s="240"/>
      <c r="AK442" s="297"/>
      <c r="AL442" s="244"/>
      <c r="AM442" s="290"/>
      <c r="AN442" s="293"/>
    </row>
    <row r="443" spans="1:40" s="321" customFormat="1" ht="25.5" customHeight="1">
      <c r="A443" s="230"/>
      <c r="B443" s="323" t="s">
        <v>147</v>
      </c>
      <c r="C443" s="232"/>
      <c r="D443" s="232"/>
      <c r="E443" s="234"/>
      <c r="F443" s="235"/>
      <c r="G443" s="236"/>
      <c r="H443" s="236"/>
      <c r="I443" s="240">
        <f>K443+M443</f>
        <v>1949</v>
      </c>
      <c r="J443" s="241"/>
      <c r="K443" s="240">
        <v>1949</v>
      </c>
      <c r="L443" s="240"/>
      <c r="M443" s="240"/>
      <c r="N443" s="239">
        <f>Q443+R443+S443</f>
        <v>862.825</v>
      </c>
      <c r="O443" s="239"/>
      <c r="P443" s="239">
        <f>SUM(Q443:T443)</f>
        <v>862.825</v>
      </c>
      <c r="Q443" s="239">
        <v>862.825</v>
      </c>
      <c r="R443" s="239">
        <v>0</v>
      </c>
      <c r="S443" s="239">
        <v>0</v>
      </c>
      <c r="T443" s="301"/>
      <c r="U443" s="235"/>
      <c r="V443" s="240">
        <f>W443+X443</f>
        <v>47557000</v>
      </c>
      <c r="W443" s="240"/>
      <c r="X443" s="240">
        <v>47557000</v>
      </c>
      <c r="Y443" s="240">
        <v>1949000000</v>
      </c>
      <c r="Z443" s="302"/>
      <c r="AA443" s="302"/>
      <c r="AB443" s="241">
        <f>Y443+Z443-AA443+X443</f>
        <v>1996557000</v>
      </c>
      <c r="AC443" s="242">
        <f>AD443+AE443+AF443</f>
        <v>862825000</v>
      </c>
      <c r="AD443" s="302">
        <v>862825000</v>
      </c>
      <c r="AE443" s="302"/>
      <c r="AF443" s="302"/>
      <c r="AG443" s="240"/>
      <c r="AH443" s="240">
        <f>AI443+AL443</f>
        <v>0</v>
      </c>
      <c r="AI443" s="240">
        <f>SUM(AJ443:AK443)</f>
        <v>0</v>
      </c>
      <c r="AJ443" s="240">
        <f>W443-AF443-AG443</f>
        <v>0</v>
      </c>
      <c r="AK443" s="302"/>
      <c r="AL443" s="244"/>
      <c r="AM443" s="236">
        <f>AB443-AD443-AE443-AK443-AL443</f>
        <v>1133732000</v>
      </c>
      <c r="AN443" s="472" t="s">
        <v>1658</v>
      </c>
    </row>
    <row r="444" spans="1:40" s="321" customFormat="1" ht="19.5" customHeight="1">
      <c r="A444" s="216">
        <v>13</v>
      </c>
      <c r="B444" s="217" t="s">
        <v>148</v>
      </c>
      <c r="C444" s="218"/>
      <c r="D444" s="456"/>
      <c r="E444" s="219"/>
      <c r="F444" s="220"/>
      <c r="G444" s="221"/>
      <c r="H444" s="221"/>
      <c r="I444" s="223">
        <f>SUM(I446)</f>
        <v>4168</v>
      </c>
      <c r="J444" s="223">
        <f>SUM(J446)</f>
        <v>0</v>
      </c>
      <c r="K444" s="223">
        <f>SUM(K446)</f>
        <v>4168</v>
      </c>
      <c r="L444" s="223">
        <f>SUM(L446)</f>
        <v>0</v>
      </c>
      <c r="M444" s="223">
        <f>SUM(M446)</f>
        <v>0</v>
      </c>
      <c r="N444" s="222">
        <f>SUM(N445,N451)</f>
        <v>5740.450430999999</v>
      </c>
      <c r="O444" s="222">
        <f aca="true" t="shared" si="230" ref="O444:U444">SUM(O445,O451)</f>
        <v>0</v>
      </c>
      <c r="P444" s="222">
        <f t="shared" si="230"/>
        <v>5740.450430999999</v>
      </c>
      <c r="Q444" s="222">
        <f t="shared" si="230"/>
        <v>4168</v>
      </c>
      <c r="R444" s="222">
        <f t="shared" si="230"/>
        <v>106.59</v>
      </c>
      <c r="S444" s="222">
        <f t="shared" si="230"/>
        <v>1465.860431</v>
      </c>
      <c r="T444" s="222">
        <f t="shared" si="230"/>
        <v>0</v>
      </c>
      <c r="U444" s="222">
        <f t="shared" si="230"/>
        <v>0</v>
      </c>
      <c r="V444" s="223" t="e">
        <f>#REF!</f>
        <v>#REF!</v>
      </c>
      <c r="W444" s="223" t="e">
        <f>#REF!</f>
        <v>#REF!</v>
      </c>
      <c r="X444" s="223" t="e">
        <f>#REF!</f>
        <v>#REF!</v>
      </c>
      <c r="Y444" s="223" t="e">
        <f>#REF!</f>
        <v>#REF!</v>
      </c>
      <c r="Z444" s="223" t="e">
        <f>#REF!</f>
        <v>#REF!</v>
      </c>
      <c r="AA444" s="223" t="e">
        <f>#REF!</f>
        <v>#REF!</v>
      </c>
      <c r="AB444" s="223" t="e">
        <f>#REF!</f>
        <v>#REF!</v>
      </c>
      <c r="AC444" s="223" t="e">
        <f>#REF!</f>
        <v>#REF!</v>
      </c>
      <c r="AD444" s="223" t="e">
        <f>#REF!</f>
        <v>#REF!</v>
      </c>
      <c r="AE444" s="223" t="e">
        <f>#REF!</f>
        <v>#REF!</v>
      </c>
      <c r="AF444" s="223" t="e">
        <f>#REF!</f>
        <v>#REF!</v>
      </c>
      <c r="AG444" s="223" t="e">
        <f>#REF!</f>
        <v>#REF!</v>
      </c>
      <c r="AH444" s="223" t="e">
        <f>#REF!</f>
        <v>#REF!</v>
      </c>
      <c r="AI444" s="223" t="e">
        <f>#REF!</f>
        <v>#REF!</v>
      </c>
      <c r="AJ444" s="223" t="e">
        <f>#REF!</f>
        <v>#REF!</v>
      </c>
      <c r="AK444" s="223" t="e">
        <f>#REF!</f>
        <v>#REF!</v>
      </c>
      <c r="AL444" s="221"/>
      <c r="AM444" s="221" t="e">
        <f>#REF!</f>
        <v>#REF!</v>
      </c>
      <c r="AN444" s="224"/>
    </row>
    <row r="445" spans="1:40" s="321" customFormat="1" ht="19.5" customHeight="1">
      <c r="A445" s="216" t="s">
        <v>149</v>
      </c>
      <c r="B445" s="217" t="s">
        <v>150</v>
      </c>
      <c r="C445" s="218"/>
      <c r="D445" s="456"/>
      <c r="E445" s="219"/>
      <c r="F445" s="220"/>
      <c r="G445" s="221"/>
      <c r="H445" s="221"/>
      <c r="I445" s="223"/>
      <c r="J445" s="223"/>
      <c r="K445" s="223"/>
      <c r="L445" s="223"/>
      <c r="M445" s="223"/>
      <c r="N445" s="222">
        <f>SUM(N446)</f>
        <v>5633.860430999999</v>
      </c>
      <c r="O445" s="222">
        <f aca="true" t="shared" si="231" ref="O445:U445">SUM(O446)</f>
        <v>0</v>
      </c>
      <c r="P445" s="222">
        <f t="shared" si="231"/>
        <v>5633.860430999999</v>
      </c>
      <c r="Q445" s="222">
        <f t="shared" si="231"/>
        <v>4168</v>
      </c>
      <c r="R445" s="222">
        <f t="shared" si="231"/>
        <v>0</v>
      </c>
      <c r="S445" s="222">
        <f t="shared" si="231"/>
        <v>1465.860431</v>
      </c>
      <c r="T445" s="222">
        <f t="shared" si="231"/>
        <v>0</v>
      </c>
      <c r="U445" s="222">
        <f t="shared" si="231"/>
        <v>0</v>
      </c>
      <c r="V445" s="223"/>
      <c r="W445" s="223"/>
      <c r="X445" s="223"/>
      <c r="Y445" s="223"/>
      <c r="Z445" s="223"/>
      <c r="AA445" s="223"/>
      <c r="AB445" s="223"/>
      <c r="AC445" s="223"/>
      <c r="AD445" s="223"/>
      <c r="AE445" s="223"/>
      <c r="AF445" s="223"/>
      <c r="AG445" s="223"/>
      <c r="AH445" s="223"/>
      <c r="AI445" s="223"/>
      <c r="AJ445" s="223"/>
      <c r="AK445" s="223"/>
      <c r="AL445" s="221"/>
      <c r="AM445" s="221"/>
      <c r="AN445" s="224"/>
    </row>
    <row r="446" spans="1:41" s="321" customFormat="1" ht="19.5" customHeight="1">
      <c r="A446" s="216"/>
      <c r="B446" s="217" t="s">
        <v>1254</v>
      </c>
      <c r="C446" s="218"/>
      <c r="D446" s="456"/>
      <c r="E446" s="219"/>
      <c r="F446" s="220"/>
      <c r="G446" s="221"/>
      <c r="H446" s="221"/>
      <c r="I446" s="240">
        <f>SUM(I447:I450)</f>
        <v>4168</v>
      </c>
      <c r="J446" s="240">
        <f aca="true" t="shared" si="232" ref="J446:AO446">SUM(J447:J450)</f>
        <v>0</v>
      </c>
      <c r="K446" s="240">
        <f t="shared" si="232"/>
        <v>4168</v>
      </c>
      <c r="L446" s="237">
        <f t="shared" si="232"/>
        <v>0</v>
      </c>
      <c r="M446" s="237">
        <f t="shared" si="232"/>
        <v>0</v>
      </c>
      <c r="N446" s="282">
        <f t="shared" si="232"/>
        <v>5633.860430999999</v>
      </c>
      <c r="O446" s="282">
        <f t="shared" si="232"/>
        <v>0</v>
      </c>
      <c r="P446" s="282">
        <f t="shared" si="232"/>
        <v>5633.860430999999</v>
      </c>
      <c r="Q446" s="282">
        <f t="shared" si="232"/>
        <v>4168</v>
      </c>
      <c r="R446" s="282">
        <f t="shared" si="232"/>
        <v>0</v>
      </c>
      <c r="S446" s="282">
        <f t="shared" si="232"/>
        <v>1465.860431</v>
      </c>
      <c r="T446" s="282">
        <f t="shared" si="232"/>
        <v>0</v>
      </c>
      <c r="U446" s="237">
        <f t="shared" si="232"/>
        <v>0</v>
      </c>
      <c r="V446" s="237">
        <f t="shared" si="232"/>
        <v>1465860931</v>
      </c>
      <c r="W446" s="237">
        <f t="shared" si="232"/>
        <v>1465860931</v>
      </c>
      <c r="X446" s="237">
        <f t="shared" si="232"/>
        <v>0</v>
      </c>
      <c r="Y446" s="237">
        <f t="shared" si="232"/>
        <v>4168000000</v>
      </c>
      <c r="Z446" s="237">
        <f t="shared" si="232"/>
        <v>0</v>
      </c>
      <c r="AA446" s="237">
        <f t="shared" si="232"/>
        <v>0</v>
      </c>
      <c r="AB446" s="237">
        <f t="shared" si="232"/>
        <v>4168000000</v>
      </c>
      <c r="AC446" s="237">
        <f t="shared" si="232"/>
        <v>5633860431</v>
      </c>
      <c r="AD446" s="237">
        <f t="shared" si="232"/>
        <v>4168000000</v>
      </c>
      <c r="AE446" s="237">
        <f t="shared" si="232"/>
        <v>0</v>
      </c>
      <c r="AF446" s="237">
        <f t="shared" si="232"/>
        <v>1465860431</v>
      </c>
      <c r="AG446" s="237">
        <f t="shared" si="232"/>
        <v>500</v>
      </c>
      <c r="AH446" s="237">
        <f t="shared" si="232"/>
        <v>0</v>
      </c>
      <c r="AI446" s="237">
        <f t="shared" si="232"/>
        <v>0</v>
      </c>
      <c r="AJ446" s="237">
        <f t="shared" si="232"/>
        <v>0</v>
      </c>
      <c r="AK446" s="237">
        <f t="shared" si="232"/>
        <v>0</v>
      </c>
      <c r="AL446" s="237">
        <f t="shared" si="232"/>
        <v>0</v>
      </c>
      <c r="AM446" s="237">
        <f t="shared" si="232"/>
        <v>0</v>
      </c>
      <c r="AN446" s="237">
        <f t="shared" si="232"/>
        <v>0</v>
      </c>
      <c r="AO446" s="237">
        <f t="shared" si="232"/>
        <v>0</v>
      </c>
    </row>
    <row r="447" spans="1:40" s="481" customFormat="1" ht="19.5" customHeight="1">
      <c r="A447" s="263"/>
      <c r="B447" s="396" t="s">
        <v>151</v>
      </c>
      <c r="C447" s="304"/>
      <c r="D447" s="490"/>
      <c r="E447" s="305"/>
      <c r="F447" s="306"/>
      <c r="G447" s="244"/>
      <c r="H447" s="244"/>
      <c r="I447" s="237"/>
      <c r="J447" s="237"/>
      <c r="K447" s="237"/>
      <c r="L447" s="237"/>
      <c r="M447" s="237"/>
      <c r="N447" s="239">
        <f>Q447+R447+S447</f>
        <v>70.3415</v>
      </c>
      <c r="O447" s="239"/>
      <c r="P447" s="239">
        <f aca="true" t="shared" si="233" ref="P447:P481">SUM(Q447:T447)</f>
        <v>70.3415</v>
      </c>
      <c r="Q447" s="239">
        <v>0</v>
      </c>
      <c r="R447" s="239">
        <v>0</v>
      </c>
      <c r="S447" s="239">
        <v>70.3415</v>
      </c>
      <c r="T447" s="237"/>
      <c r="U447" s="244"/>
      <c r="V447" s="240">
        <f>W447+X447</f>
        <v>70342000</v>
      </c>
      <c r="W447" s="240">
        <v>70342000</v>
      </c>
      <c r="X447" s="240"/>
      <c r="Y447" s="240"/>
      <c r="Z447" s="240"/>
      <c r="AA447" s="240"/>
      <c r="AB447" s="241">
        <f>Y447+Z447-AA447+X447</f>
        <v>0</v>
      </c>
      <c r="AC447" s="242">
        <f>AD447+AE447+AF447</f>
        <v>70341500</v>
      </c>
      <c r="AD447" s="240"/>
      <c r="AE447" s="240"/>
      <c r="AF447" s="240">
        <v>70341500</v>
      </c>
      <c r="AG447" s="240">
        <v>500</v>
      </c>
      <c r="AH447" s="240">
        <f>AI447+AL447</f>
        <v>0</v>
      </c>
      <c r="AI447" s="240">
        <f>SUM(AJ447:AK447)</f>
        <v>0</v>
      </c>
      <c r="AJ447" s="240">
        <f>W447-AF447-AG447</f>
        <v>0</v>
      </c>
      <c r="AK447" s="240"/>
      <c r="AL447" s="244"/>
      <c r="AM447" s="236">
        <f>AB447-AD447-AE447-AK447-AL447</f>
        <v>0</v>
      </c>
      <c r="AN447" s="472"/>
    </row>
    <row r="448" spans="1:40" s="481" customFormat="1" ht="19.5" customHeight="1">
      <c r="A448" s="263"/>
      <c r="B448" s="396" t="s">
        <v>152</v>
      </c>
      <c r="C448" s="304"/>
      <c r="D448" s="490"/>
      <c r="E448" s="305"/>
      <c r="F448" s="306"/>
      <c r="G448" s="244"/>
      <c r="H448" s="244"/>
      <c r="I448" s="237"/>
      <c r="J448" s="237"/>
      <c r="K448" s="237"/>
      <c r="L448" s="237"/>
      <c r="M448" s="237"/>
      <c r="N448" s="239">
        <f>Q448+R448+S448</f>
        <v>1298.1</v>
      </c>
      <c r="O448" s="239"/>
      <c r="P448" s="239">
        <f t="shared" si="233"/>
        <v>1298.1</v>
      </c>
      <c r="Q448" s="239">
        <v>0</v>
      </c>
      <c r="R448" s="239">
        <v>0</v>
      </c>
      <c r="S448" s="239">
        <v>1298.1</v>
      </c>
      <c r="T448" s="237"/>
      <c r="U448" s="244"/>
      <c r="V448" s="240">
        <f>W448+X448</f>
        <v>1298100000</v>
      </c>
      <c r="W448" s="240">
        <v>1298100000</v>
      </c>
      <c r="X448" s="240"/>
      <c r="Y448" s="240"/>
      <c r="Z448" s="240"/>
      <c r="AA448" s="240"/>
      <c r="AB448" s="241">
        <f>Y448+Z448-AA448+X448</f>
        <v>0</v>
      </c>
      <c r="AC448" s="242">
        <f>AD448+AE448+AF448</f>
        <v>1298100000</v>
      </c>
      <c r="AD448" s="240"/>
      <c r="AE448" s="240"/>
      <c r="AF448" s="240">
        <v>1298100000</v>
      </c>
      <c r="AG448" s="240"/>
      <c r="AH448" s="240">
        <f>AI448+AL448</f>
        <v>0</v>
      </c>
      <c r="AI448" s="240">
        <f>SUM(AJ448:AK448)</f>
        <v>0</v>
      </c>
      <c r="AJ448" s="240">
        <f>W448-AF448-AG448</f>
        <v>0</v>
      </c>
      <c r="AK448" s="240"/>
      <c r="AL448" s="244"/>
      <c r="AM448" s="236">
        <f>AB448-AD448-AE448-AK448-AL448</f>
        <v>0</v>
      </c>
      <c r="AN448" s="472"/>
    </row>
    <row r="449" spans="1:40" s="481" customFormat="1" ht="19.5" customHeight="1">
      <c r="A449" s="263"/>
      <c r="B449" s="396" t="s">
        <v>153</v>
      </c>
      <c r="C449" s="304"/>
      <c r="D449" s="490"/>
      <c r="E449" s="305"/>
      <c r="F449" s="306"/>
      <c r="G449" s="244"/>
      <c r="H449" s="244"/>
      <c r="I449" s="237"/>
      <c r="J449" s="237"/>
      <c r="K449" s="237"/>
      <c r="L449" s="237"/>
      <c r="M449" s="237"/>
      <c r="N449" s="239">
        <f>Q449+R449+S449</f>
        <v>65.775</v>
      </c>
      <c r="O449" s="239"/>
      <c r="P449" s="239">
        <f t="shared" si="233"/>
        <v>65.775</v>
      </c>
      <c r="Q449" s="239">
        <v>0</v>
      </c>
      <c r="R449" s="239">
        <v>0</v>
      </c>
      <c r="S449" s="239">
        <v>65.775</v>
      </c>
      <c r="T449" s="237"/>
      <c r="U449" s="244"/>
      <c r="V449" s="240">
        <f>W449+X449</f>
        <v>65775000</v>
      </c>
      <c r="W449" s="240">
        <v>65775000</v>
      </c>
      <c r="X449" s="240"/>
      <c r="Y449" s="240"/>
      <c r="Z449" s="240"/>
      <c r="AA449" s="240"/>
      <c r="AB449" s="241">
        <f>Y449+Z449-AA449+X449</f>
        <v>0</v>
      </c>
      <c r="AC449" s="242">
        <f>AD449+AE449+AF449</f>
        <v>65775000</v>
      </c>
      <c r="AD449" s="240"/>
      <c r="AE449" s="240"/>
      <c r="AF449" s="240">
        <v>65775000</v>
      </c>
      <c r="AG449" s="240"/>
      <c r="AH449" s="240">
        <f>AI449+AL449</f>
        <v>0</v>
      </c>
      <c r="AI449" s="240">
        <f>SUM(AJ449:AK449)</f>
        <v>0</v>
      </c>
      <c r="AJ449" s="240">
        <f>W449-AF449-AG449</f>
        <v>0</v>
      </c>
      <c r="AK449" s="240"/>
      <c r="AL449" s="244"/>
      <c r="AM449" s="236">
        <f>AB449-AD449-AE449-AK449-AL449</f>
        <v>0</v>
      </c>
      <c r="AN449" s="472"/>
    </row>
    <row r="450" spans="1:40" s="414" customFormat="1" ht="19.5" customHeight="1">
      <c r="A450" s="230"/>
      <c r="B450" s="231" t="s">
        <v>154</v>
      </c>
      <c r="C450" s="232" t="s">
        <v>1368</v>
      </c>
      <c r="D450" s="233" t="s">
        <v>155</v>
      </c>
      <c r="E450" s="234" t="s">
        <v>156</v>
      </c>
      <c r="F450" s="235">
        <v>320000</v>
      </c>
      <c r="G450" s="236">
        <v>27049</v>
      </c>
      <c r="H450" s="236">
        <v>27049</v>
      </c>
      <c r="I450" s="237">
        <f>K450+M450</f>
        <v>4168</v>
      </c>
      <c r="J450" s="238"/>
      <c r="K450" s="237">
        <v>4168</v>
      </c>
      <c r="L450" s="237"/>
      <c r="M450" s="237"/>
      <c r="N450" s="239">
        <f>Q450+R450+S450</f>
        <v>4199.643931</v>
      </c>
      <c r="O450" s="239"/>
      <c r="P450" s="239">
        <f t="shared" si="233"/>
        <v>4199.643931</v>
      </c>
      <c r="Q450" s="239">
        <v>4168</v>
      </c>
      <c r="R450" s="239">
        <v>0</v>
      </c>
      <c r="S450" s="239">
        <v>31.643931</v>
      </c>
      <c r="T450" s="488"/>
      <c r="U450" s="489"/>
      <c r="V450" s="240">
        <f>W450+X450</f>
        <v>31643931</v>
      </c>
      <c r="W450" s="240">
        <v>31643931</v>
      </c>
      <c r="X450" s="240"/>
      <c r="Y450" s="240">
        <v>4168000000</v>
      </c>
      <c r="Z450" s="302"/>
      <c r="AA450" s="302"/>
      <c r="AB450" s="241">
        <f>Y450+Z450-AA450+X450</f>
        <v>4168000000</v>
      </c>
      <c r="AC450" s="242">
        <f>AD450+AE450+AF450</f>
        <v>4199643931</v>
      </c>
      <c r="AD450" s="302">
        <v>4168000000</v>
      </c>
      <c r="AE450" s="302"/>
      <c r="AF450" s="476">
        <v>31643931</v>
      </c>
      <c r="AG450" s="240"/>
      <c r="AH450" s="240">
        <f>AI450+AL450</f>
        <v>0</v>
      </c>
      <c r="AI450" s="240">
        <f>SUM(AJ450:AK450)</f>
        <v>0</v>
      </c>
      <c r="AJ450" s="240">
        <f>W450-AF450-AG450</f>
        <v>0</v>
      </c>
      <c r="AK450" s="302"/>
      <c r="AL450" s="244"/>
      <c r="AM450" s="236">
        <f>AB450-AD450-AE450-AK450-AL450</f>
        <v>0</v>
      </c>
      <c r="AN450" s="413" t="s">
        <v>157</v>
      </c>
    </row>
    <row r="451" spans="1:40" s="414" customFormat="1" ht="19.5" customHeight="1">
      <c r="A451" s="275" t="s">
        <v>158</v>
      </c>
      <c r="B451" s="287" t="s">
        <v>159</v>
      </c>
      <c r="C451" s="288"/>
      <c r="D451" s="455"/>
      <c r="E451" s="289"/>
      <c r="F451" s="290"/>
      <c r="G451" s="291"/>
      <c r="H451" s="291"/>
      <c r="I451" s="282"/>
      <c r="J451" s="282"/>
      <c r="K451" s="282"/>
      <c r="L451" s="282"/>
      <c r="M451" s="282"/>
      <c r="N451" s="296">
        <f>SUM(N452)</f>
        <v>106.59</v>
      </c>
      <c r="O451" s="296"/>
      <c r="P451" s="296">
        <f aca="true" t="shared" si="234" ref="P451:U451">SUM(P452)</f>
        <v>106.59</v>
      </c>
      <c r="Q451" s="296">
        <f t="shared" si="234"/>
        <v>0</v>
      </c>
      <c r="R451" s="296">
        <f t="shared" si="234"/>
        <v>106.59</v>
      </c>
      <c r="S451" s="296">
        <f t="shared" si="234"/>
        <v>0</v>
      </c>
      <c r="T451" s="296">
        <f t="shared" si="234"/>
        <v>0</v>
      </c>
      <c r="U451" s="296">
        <f t="shared" si="234"/>
        <v>0</v>
      </c>
      <c r="V451" s="240"/>
      <c r="W451" s="240"/>
      <c r="X451" s="240"/>
      <c r="Y451" s="240"/>
      <c r="Z451" s="302"/>
      <c r="AA451" s="302"/>
      <c r="AB451" s="241"/>
      <c r="AC451" s="242"/>
      <c r="AD451" s="302"/>
      <c r="AE451" s="302"/>
      <c r="AF451" s="476"/>
      <c r="AG451" s="240"/>
      <c r="AH451" s="240"/>
      <c r="AI451" s="240"/>
      <c r="AJ451" s="240"/>
      <c r="AK451" s="302"/>
      <c r="AL451" s="244"/>
      <c r="AM451" s="236"/>
      <c r="AN451" s="413"/>
    </row>
    <row r="452" spans="1:40" s="414" customFormat="1" ht="19.5" customHeight="1">
      <c r="A452" s="230"/>
      <c r="B452" s="231" t="s">
        <v>160</v>
      </c>
      <c r="C452" s="232"/>
      <c r="D452" s="233"/>
      <c r="E452" s="234"/>
      <c r="F452" s="235"/>
      <c r="G452" s="236"/>
      <c r="H452" s="236"/>
      <c r="I452" s="237"/>
      <c r="J452" s="238"/>
      <c r="K452" s="237"/>
      <c r="L452" s="237"/>
      <c r="M452" s="237"/>
      <c r="N452" s="239">
        <f>Q452+R452+S452</f>
        <v>106.59</v>
      </c>
      <c r="O452" s="239"/>
      <c r="P452" s="239">
        <f>SUM(Q452:S452)</f>
        <v>106.59</v>
      </c>
      <c r="Q452" s="239"/>
      <c r="R452" s="239">
        <v>106.59</v>
      </c>
      <c r="S452" s="239"/>
      <c r="T452" s="488"/>
      <c r="U452" s="489"/>
      <c r="V452" s="240"/>
      <c r="W452" s="240"/>
      <c r="X452" s="240"/>
      <c r="Y452" s="240"/>
      <c r="Z452" s="302"/>
      <c r="AA452" s="302"/>
      <c r="AB452" s="241"/>
      <c r="AC452" s="242"/>
      <c r="AD452" s="302"/>
      <c r="AE452" s="302"/>
      <c r="AF452" s="476"/>
      <c r="AG452" s="240"/>
      <c r="AH452" s="240"/>
      <c r="AI452" s="240"/>
      <c r="AJ452" s="240"/>
      <c r="AK452" s="302"/>
      <c r="AL452" s="244"/>
      <c r="AM452" s="236"/>
      <c r="AN452" s="413"/>
    </row>
    <row r="453" spans="1:41" s="474" customFormat="1" ht="19.5" customHeight="1">
      <c r="A453" s="275">
        <v>14</v>
      </c>
      <c r="B453" s="287" t="s">
        <v>161</v>
      </c>
      <c r="C453" s="288"/>
      <c r="D453" s="455"/>
      <c r="E453" s="289"/>
      <c r="F453" s="290"/>
      <c r="G453" s="291"/>
      <c r="H453" s="291"/>
      <c r="I453" s="282">
        <f>SUM(I454:I460)</f>
        <v>6000</v>
      </c>
      <c r="J453" s="282"/>
      <c r="K453" s="282">
        <f>SUM(K454:K460)</f>
        <v>6000</v>
      </c>
      <c r="L453" s="282"/>
      <c r="M453" s="282"/>
      <c r="N453" s="282">
        <f>SUM(N454:N460)</f>
        <v>31920.095461999997</v>
      </c>
      <c r="O453" s="282">
        <f aca="true" t="shared" si="235" ref="O453:AO453">SUM(O454:O460)</f>
        <v>0</v>
      </c>
      <c r="P453" s="282">
        <f t="shared" si="235"/>
        <v>31920.095461999997</v>
      </c>
      <c r="Q453" s="282">
        <f t="shared" si="235"/>
        <v>0</v>
      </c>
      <c r="R453" s="282">
        <f t="shared" si="235"/>
        <v>31767.320462</v>
      </c>
      <c r="S453" s="282">
        <f t="shared" si="235"/>
        <v>152.775</v>
      </c>
      <c r="T453" s="282">
        <f t="shared" si="235"/>
        <v>0</v>
      </c>
      <c r="U453" s="282">
        <f t="shared" si="235"/>
        <v>0</v>
      </c>
      <c r="V453" s="282">
        <f t="shared" si="235"/>
        <v>40255550000</v>
      </c>
      <c r="W453" s="282">
        <f t="shared" si="235"/>
        <v>152775000</v>
      </c>
      <c r="X453" s="282">
        <f t="shared" si="235"/>
        <v>40102775000</v>
      </c>
      <c r="Y453" s="282">
        <f t="shared" si="235"/>
        <v>6000000000</v>
      </c>
      <c r="Z453" s="282">
        <f t="shared" si="235"/>
        <v>0</v>
      </c>
      <c r="AA453" s="282">
        <f t="shared" si="235"/>
        <v>0</v>
      </c>
      <c r="AB453" s="282">
        <f t="shared" si="235"/>
        <v>46102775000</v>
      </c>
      <c r="AC453" s="282">
        <f t="shared" si="235"/>
        <v>31920095462</v>
      </c>
      <c r="AD453" s="282">
        <f t="shared" si="235"/>
        <v>0</v>
      </c>
      <c r="AE453" s="282">
        <f t="shared" si="235"/>
        <v>31767320462</v>
      </c>
      <c r="AF453" s="282">
        <f t="shared" si="235"/>
        <v>152775000</v>
      </c>
      <c r="AG453" s="282">
        <f t="shared" si="235"/>
        <v>0</v>
      </c>
      <c r="AH453" s="282">
        <f t="shared" si="235"/>
        <v>7728381538</v>
      </c>
      <c r="AI453" s="282">
        <f t="shared" si="235"/>
        <v>7728381538</v>
      </c>
      <c r="AJ453" s="282">
        <f t="shared" si="235"/>
        <v>0</v>
      </c>
      <c r="AK453" s="282">
        <f t="shared" si="235"/>
        <v>7728381538</v>
      </c>
      <c r="AL453" s="282">
        <f t="shared" si="235"/>
        <v>0</v>
      </c>
      <c r="AM453" s="282">
        <f t="shared" si="235"/>
        <v>6607073000</v>
      </c>
      <c r="AN453" s="282">
        <f t="shared" si="235"/>
        <v>0</v>
      </c>
      <c r="AO453" s="282">
        <f t="shared" si="235"/>
        <v>0</v>
      </c>
    </row>
    <row r="454" spans="1:40" s="481" customFormat="1" ht="19.5" customHeight="1">
      <c r="A454" s="263"/>
      <c r="B454" s="396" t="s">
        <v>162</v>
      </c>
      <c r="C454" s="304"/>
      <c r="D454" s="490"/>
      <c r="E454" s="305"/>
      <c r="F454" s="306"/>
      <c r="G454" s="244"/>
      <c r="H454" s="244"/>
      <c r="I454" s="237"/>
      <c r="J454" s="237"/>
      <c r="K454" s="237"/>
      <c r="L454" s="237"/>
      <c r="M454" s="237"/>
      <c r="N454" s="239">
        <f aca="true" t="shared" si="236" ref="N454:N460">Q454+R454+S454</f>
        <v>50</v>
      </c>
      <c r="O454" s="239"/>
      <c r="P454" s="239">
        <f t="shared" si="233"/>
        <v>50</v>
      </c>
      <c r="Q454" s="239">
        <v>0</v>
      </c>
      <c r="R454" s="239">
        <v>0</v>
      </c>
      <c r="S454" s="239">
        <v>50</v>
      </c>
      <c r="T454" s="237"/>
      <c r="U454" s="244"/>
      <c r="V454" s="240">
        <f aca="true" t="shared" si="237" ref="V454:V460">W454+X454</f>
        <v>50000000</v>
      </c>
      <c r="W454" s="240">
        <v>50000000</v>
      </c>
      <c r="X454" s="240"/>
      <c r="Y454" s="240"/>
      <c r="Z454" s="240"/>
      <c r="AA454" s="240"/>
      <c r="AB454" s="241">
        <f aca="true" t="shared" si="238" ref="AB454:AB460">Y454+Z454-AA454+X454</f>
        <v>0</v>
      </c>
      <c r="AC454" s="242">
        <f aca="true" t="shared" si="239" ref="AC454:AC460">AD454+AE454+AF454</f>
        <v>50000000</v>
      </c>
      <c r="AD454" s="240"/>
      <c r="AE454" s="240"/>
      <c r="AF454" s="240">
        <v>50000000</v>
      </c>
      <c r="AG454" s="240"/>
      <c r="AH454" s="240">
        <f aca="true" t="shared" si="240" ref="AH454:AH460">AI454+AL454</f>
        <v>0</v>
      </c>
      <c r="AI454" s="240">
        <f aca="true" t="shared" si="241" ref="AI454:AI460">SUM(AJ454:AK454)</f>
        <v>0</v>
      </c>
      <c r="AJ454" s="240">
        <f aca="true" t="shared" si="242" ref="AJ454:AJ460">W454-AF454-AG454</f>
        <v>0</v>
      </c>
      <c r="AK454" s="240"/>
      <c r="AL454" s="244"/>
      <c r="AM454" s="236">
        <f aca="true" t="shared" si="243" ref="AM454:AM460">AB454-AD454-AE454-AK454-AL454</f>
        <v>0</v>
      </c>
      <c r="AN454" s="472"/>
    </row>
    <row r="455" spans="1:40" s="321" customFormat="1" ht="19.5" customHeight="1">
      <c r="A455" s="230"/>
      <c r="B455" s="323" t="s">
        <v>163</v>
      </c>
      <c r="C455" s="232" t="s">
        <v>1058</v>
      </c>
      <c r="D455" s="232"/>
      <c r="E455" s="234"/>
      <c r="F455" s="235"/>
      <c r="G455" s="236"/>
      <c r="H455" s="236"/>
      <c r="I455" s="237">
        <f>K455+M455</f>
        <v>6000</v>
      </c>
      <c r="J455" s="238"/>
      <c r="K455" s="237">
        <v>6000</v>
      </c>
      <c r="L455" s="237"/>
      <c r="M455" s="237"/>
      <c r="N455" s="239"/>
      <c r="O455" s="239"/>
      <c r="P455" s="239"/>
      <c r="Q455" s="239">
        <v>0</v>
      </c>
      <c r="R455" s="239">
        <v>0</v>
      </c>
      <c r="S455" s="239">
        <v>0</v>
      </c>
      <c r="T455" s="301"/>
      <c r="U455" s="235"/>
      <c r="V455" s="240">
        <f t="shared" si="237"/>
        <v>0</v>
      </c>
      <c r="W455" s="240"/>
      <c r="X455" s="240"/>
      <c r="Y455" s="240">
        <v>6000000000</v>
      </c>
      <c r="Z455" s="302"/>
      <c r="AA455" s="302"/>
      <c r="AB455" s="241">
        <f t="shared" si="238"/>
        <v>6000000000</v>
      </c>
      <c r="AC455" s="242">
        <f t="shared" si="239"/>
        <v>0</v>
      </c>
      <c r="AD455" s="302"/>
      <c r="AE455" s="302"/>
      <c r="AF455" s="302"/>
      <c r="AG455" s="240"/>
      <c r="AH455" s="240">
        <f t="shared" si="240"/>
        <v>0</v>
      </c>
      <c r="AI455" s="240">
        <f t="shared" si="241"/>
        <v>0</v>
      </c>
      <c r="AJ455" s="240">
        <f t="shared" si="242"/>
        <v>0</v>
      </c>
      <c r="AK455" s="302"/>
      <c r="AL455" s="244"/>
      <c r="AM455" s="236">
        <f t="shared" si="243"/>
        <v>6000000000</v>
      </c>
      <c r="AN455" s="472" t="s">
        <v>164</v>
      </c>
    </row>
    <row r="456" spans="1:40" s="481" customFormat="1" ht="19.5" customHeight="1">
      <c r="A456" s="263"/>
      <c r="B456" s="396" t="s">
        <v>165</v>
      </c>
      <c r="C456" s="232" t="s">
        <v>1058</v>
      </c>
      <c r="D456" s="490"/>
      <c r="E456" s="305"/>
      <c r="F456" s="306"/>
      <c r="G456" s="244"/>
      <c r="H456" s="244"/>
      <c r="I456" s="237"/>
      <c r="J456" s="237"/>
      <c r="K456" s="237"/>
      <c r="L456" s="237"/>
      <c r="M456" s="237"/>
      <c r="N456" s="239">
        <f t="shared" si="236"/>
        <v>2271.618462</v>
      </c>
      <c r="O456" s="239"/>
      <c r="P456" s="239">
        <f t="shared" si="233"/>
        <v>2271.618462</v>
      </c>
      <c r="Q456" s="239">
        <v>0</v>
      </c>
      <c r="R456" s="239">
        <v>2271.618462</v>
      </c>
      <c r="S456" s="239">
        <v>0</v>
      </c>
      <c r="T456" s="488"/>
      <c r="U456" s="489"/>
      <c r="V456" s="240">
        <f t="shared" si="237"/>
        <v>10000000000</v>
      </c>
      <c r="W456" s="240"/>
      <c r="X456" s="240">
        <v>10000000000</v>
      </c>
      <c r="Y456" s="240"/>
      <c r="Z456" s="308"/>
      <c r="AA456" s="308"/>
      <c r="AB456" s="241">
        <f t="shared" si="238"/>
        <v>10000000000</v>
      </c>
      <c r="AC456" s="242">
        <f t="shared" si="239"/>
        <v>2271618462</v>
      </c>
      <c r="AD456" s="308"/>
      <c r="AE456" s="308">
        <v>2271618462</v>
      </c>
      <c r="AF456" s="476"/>
      <c r="AG456" s="240"/>
      <c r="AH456" s="240">
        <f t="shared" si="240"/>
        <v>7728381538</v>
      </c>
      <c r="AI456" s="240">
        <f t="shared" si="241"/>
        <v>7728381538</v>
      </c>
      <c r="AJ456" s="240">
        <f t="shared" si="242"/>
        <v>0</v>
      </c>
      <c r="AK456" s="308">
        <v>7728381538</v>
      </c>
      <c r="AL456" s="244"/>
      <c r="AM456" s="236">
        <f t="shared" si="243"/>
        <v>0</v>
      </c>
      <c r="AN456" s="472"/>
    </row>
    <row r="457" spans="1:40" s="481" customFormat="1" ht="19.5" customHeight="1">
      <c r="A457" s="263"/>
      <c r="B457" s="396" t="s">
        <v>166</v>
      </c>
      <c r="C457" s="304"/>
      <c r="D457" s="490"/>
      <c r="E457" s="305"/>
      <c r="F457" s="306"/>
      <c r="G457" s="244"/>
      <c r="H457" s="244"/>
      <c r="I457" s="237"/>
      <c r="J457" s="237"/>
      <c r="K457" s="237"/>
      <c r="L457" s="237"/>
      <c r="M457" s="237"/>
      <c r="N457" s="239">
        <f t="shared" si="236"/>
        <v>102.775</v>
      </c>
      <c r="O457" s="239"/>
      <c r="P457" s="239">
        <f t="shared" si="233"/>
        <v>102.775</v>
      </c>
      <c r="Q457" s="239">
        <v>0</v>
      </c>
      <c r="R457" s="239">
        <v>0</v>
      </c>
      <c r="S457" s="239">
        <v>102.775</v>
      </c>
      <c r="T457" s="237"/>
      <c r="U457" s="244"/>
      <c r="V457" s="240">
        <f t="shared" si="237"/>
        <v>205550000</v>
      </c>
      <c r="W457" s="240">
        <v>102775000</v>
      </c>
      <c r="X457" s="240">
        <v>102775000</v>
      </c>
      <c r="Y457" s="240"/>
      <c r="Z457" s="308"/>
      <c r="AA457" s="308"/>
      <c r="AB457" s="241">
        <f t="shared" si="238"/>
        <v>102775000</v>
      </c>
      <c r="AC457" s="242">
        <f t="shared" si="239"/>
        <v>102775000</v>
      </c>
      <c r="AD457" s="308"/>
      <c r="AE457" s="308"/>
      <c r="AF457" s="240">
        <v>102775000</v>
      </c>
      <c r="AG457" s="240"/>
      <c r="AH457" s="240">
        <f t="shared" si="240"/>
        <v>0</v>
      </c>
      <c r="AI457" s="240">
        <f t="shared" si="241"/>
        <v>0</v>
      </c>
      <c r="AJ457" s="240">
        <f t="shared" si="242"/>
        <v>0</v>
      </c>
      <c r="AK457" s="308"/>
      <c r="AL457" s="244"/>
      <c r="AM457" s="236">
        <f t="shared" si="243"/>
        <v>102775000</v>
      </c>
      <c r="AN457" s="472"/>
    </row>
    <row r="458" spans="1:40" s="481" customFormat="1" ht="19.5" customHeight="1">
      <c r="A458" s="263"/>
      <c r="B458" s="396" t="s">
        <v>167</v>
      </c>
      <c r="C458" s="304" t="s">
        <v>1408</v>
      </c>
      <c r="D458" s="490"/>
      <c r="E458" s="305"/>
      <c r="F458" s="306"/>
      <c r="G458" s="244"/>
      <c r="H458" s="244"/>
      <c r="I458" s="237"/>
      <c r="J458" s="237"/>
      <c r="K458" s="237"/>
      <c r="L458" s="237"/>
      <c r="M458" s="237"/>
      <c r="N458" s="239">
        <f t="shared" si="236"/>
        <v>6519.585</v>
      </c>
      <c r="O458" s="239"/>
      <c r="P458" s="239">
        <f t="shared" si="233"/>
        <v>6519.585</v>
      </c>
      <c r="Q458" s="239">
        <v>0</v>
      </c>
      <c r="R458" s="239">
        <v>6519.585</v>
      </c>
      <c r="S458" s="239">
        <v>0</v>
      </c>
      <c r="T458" s="488"/>
      <c r="U458" s="489"/>
      <c r="V458" s="240">
        <f t="shared" si="237"/>
        <v>7000000000</v>
      </c>
      <c r="W458" s="240"/>
      <c r="X458" s="240">
        <v>7000000000</v>
      </c>
      <c r="Y458" s="240"/>
      <c r="Z458" s="308"/>
      <c r="AA458" s="308"/>
      <c r="AB458" s="241">
        <f t="shared" si="238"/>
        <v>7000000000</v>
      </c>
      <c r="AC458" s="242">
        <f t="shared" si="239"/>
        <v>6519585000</v>
      </c>
      <c r="AD458" s="308"/>
      <c r="AE458" s="308">
        <v>6519585000</v>
      </c>
      <c r="AF458" s="476"/>
      <c r="AG458" s="240"/>
      <c r="AH458" s="240">
        <f t="shared" si="240"/>
        <v>0</v>
      </c>
      <c r="AI458" s="240">
        <f t="shared" si="241"/>
        <v>0</v>
      </c>
      <c r="AJ458" s="240">
        <f t="shared" si="242"/>
        <v>0</v>
      </c>
      <c r="AK458" s="308"/>
      <c r="AL458" s="244"/>
      <c r="AM458" s="236">
        <f t="shared" si="243"/>
        <v>480415000</v>
      </c>
      <c r="AN458" s="472"/>
    </row>
    <row r="459" spans="1:40" s="481" customFormat="1" ht="19.5" customHeight="1">
      <c r="A459" s="263"/>
      <c r="B459" s="396" t="s">
        <v>168</v>
      </c>
      <c r="C459" s="304" t="s">
        <v>1273</v>
      </c>
      <c r="D459" s="490"/>
      <c r="E459" s="305"/>
      <c r="F459" s="306"/>
      <c r="G459" s="244"/>
      <c r="H459" s="244"/>
      <c r="I459" s="237"/>
      <c r="J459" s="237"/>
      <c r="K459" s="237"/>
      <c r="L459" s="237"/>
      <c r="M459" s="237"/>
      <c r="N459" s="239">
        <f t="shared" si="236"/>
        <v>2976.117</v>
      </c>
      <c r="O459" s="239"/>
      <c r="P459" s="239">
        <f t="shared" si="233"/>
        <v>2976.117</v>
      </c>
      <c r="Q459" s="239">
        <v>0</v>
      </c>
      <c r="R459" s="239">
        <v>2976.117</v>
      </c>
      <c r="S459" s="239">
        <v>0</v>
      </c>
      <c r="T459" s="488"/>
      <c r="U459" s="489"/>
      <c r="V459" s="240">
        <f t="shared" si="237"/>
        <v>3000000000</v>
      </c>
      <c r="W459" s="240"/>
      <c r="X459" s="240">
        <v>3000000000</v>
      </c>
      <c r="Y459" s="240"/>
      <c r="Z459" s="308"/>
      <c r="AA459" s="308"/>
      <c r="AB459" s="241">
        <f t="shared" si="238"/>
        <v>3000000000</v>
      </c>
      <c r="AC459" s="242">
        <f t="shared" si="239"/>
        <v>2976117000</v>
      </c>
      <c r="AD459" s="308"/>
      <c r="AE459" s="308">
        <v>2976117000</v>
      </c>
      <c r="AF459" s="476"/>
      <c r="AG459" s="240"/>
      <c r="AH459" s="240">
        <f t="shared" si="240"/>
        <v>0</v>
      </c>
      <c r="AI459" s="240">
        <f t="shared" si="241"/>
        <v>0</v>
      </c>
      <c r="AJ459" s="240">
        <f t="shared" si="242"/>
        <v>0</v>
      </c>
      <c r="AK459" s="308"/>
      <c r="AL459" s="244"/>
      <c r="AM459" s="236">
        <f t="shared" si="243"/>
        <v>23883000</v>
      </c>
      <c r="AN459" s="472"/>
    </row>
    <row r="460" spans="1:40" s="481" customFormat="1" ht="19.5" customHeight="1">
      <c r="A460" s="263"/>
      <c r="B460" s="396" t="s">
        <v>169</v>
      </c>
      <c r="C460" s="304" t="s">
        <v>170</v>
      </c>
      <c r="D460" s="490"/>
      <c r="E460" s="305"/>
      <c r="F460" s="306"/>
      <c r="G460" s="244"/>
      <c r="H460" s="244"/>
      <c r="I460" s="237"/>
      <c r="J460" s="237"/>
      <c r="K460" s="237"/>
      <c r="L460" s="237"/>
      <c r="M460" s="237"/>
      <c r="N460" s="239">
        <f t="shared" si="236"/>
        <v>20000</v>
      </c>
      <c r="O460" s="239"/>
      <c r="P460" s="239">
        <f t="shared" si="233"/>
        <v>20000</v>
      </c>
      <c r="Q460" s="239">
        <v>0</v>
      </c>
      <c r="R460" s="239">
        <v>20000</v>
      </c>
      <c r="S460" s="239">
        <v>0</v>
      </c>
      <c r="T460" s="488"/>
      <c r="U460" s="489"/>
      <c r="V460" s="240">
        <f t="shared" si="237"/>
        <v>20000000000</v>
      </c>
      <c r="W460" s="240"/>
      <c r="X460" s="240">
        <v>20000000000</v>
      </c>
      <c r="Y460" s="240"/>
      <c r="Z460" s="308"/>
      <c r="AA460" s="308"/>
      <c r="AB460" s="241">
        <f t="shared" si="238"/>
        <v>20000000000</v>
      </c>
      <c r="AC460" s="242">
        <f t="shared" si="239"/>
        <v>20000000000</v>
      </c>
      <c r="AD460" s="308"/>
      <c r="AE460" s="240">
        <v>20000000000</v>
      </c>
      <c r="AF460" s="476"/>
      <c r="AG460" s="240"/>
      <c r="AH460" s="240">
        <f t="shared" si="240"/>
        <v>0</v>
      </c>
      <c r="AI460" s="240">
        <f t="shared" si="241"/>
        <v>0</v>
      </c>
      <c r="AJ460" s="240">
        <f t="shared" si="242"/>
        <v>0</v>
      </c>
      <c r="AK460" s="308"/>
      <c r="AL460" s="244"/>
      <c r="AM460" s="236">
        <f t="shared" si="243"/>
        <v>0</v>
      </c>
      <c r="AN460" s="472"/>
    </row>
    <row r="461" spans="1:40" s="474" customFormat="1" ht="19.5" customHeight="1">
      <c r="A461" s="275">
        <v>15</v>
      </c>
      <c r="B461" s="287" t="s">
        <v>171</v>
      </c>
      <c r="C461" s="288"/>
      <c r="D461" s="455"/>
      <c r="E461" s="289"/>
      <c r="F461" s="290"/>
      <c r="G461" s="291"/>
      <c r="H461" s="291"/>
      <c r="I461" s="282">
        <f>I462</f>
        <v>0</v>
      </c>
      <c r="J461" s="282"/>
      <c r="K461" s="282">
        <f>K462</f>
        <v>0</v>
      </c>
      <c r="L461" s="282"/>
      <c r="M461" s="282"/>
      <c r="N461" s="282">
        <f>SUM(N462)</f>
        <v>3719.048</v>
      </c>
      <c r="O461" s="282">
        <f aca="true" t="shared" si="244" ref="O461:T461">SUM(O462)</f>
        <v>0</v>
      </c>
      <c r="P461" s="282">
        <f t="shared" si="244"/>
        <v>3719.048</v>
      </c>
      <c r="Q461" s="282">
        <f t="shared" si="244"/>
        <v>0</v>
      </c>
      <c r="R461" s="282">
        <f t="shared" si="244"/>
        <v>0</v>
      </c>
      <c r="S461" s="282">
        <f t="shared" si="244"/>
        <v>3719.048</v>
      </c>
      <c r="T461" s="282">
        <f t="shared" si="244"/>
        <v>0</v>
      </c>
      <c r="U461" s="291"/>
      <c r="V461" s="292">
        <f aca="true" t="shared" si="245" ref="V461:AM461">V462</f>
        <v>4704250000</v>
      </c>
      <c r="W461" s="292">
        <f t="shared" si="245"/>
        <v>4704250000</v>
      </c>
      <c r="X461" s="292">
        <f t="shared" si="245"/>
        <v>0</v>
      </c>
      <c r="Y461" s="292">
        <f>Y462</f>
        <v>0</v>
      </c>
      <c r="Z461" s="292">
        <f t="shared" si="245"/>
        <v>0</v>
      </c>
      <c r="AA461" s="292">
        <f t="shared" si="245"/>
        <v>0</v>
      </c>
      <c r="AB461" s="292">
        <f t="shared" si="245"/>
        <v>0</v>
      </c>
      <c r="AC461" s="292">
        <f t="shared" si="245"/>
        <v>3719048000</v>
      </c>
      <c r="AD461" s="292">
        <f t="shared" si="245"/>
        <v>0</v>
      </c>
      <c r="AE461" s="292">
        <f t="shared" si="245"/>
        <v>0</v>
      </c>
      <c r="AF461" s="292">
        <f t="shared" si="245"/>
        <v>3719048000</v>
      </c>
      <c r="AG461" s="292">
        <f t="shared" si="245"/>
        <v>0</v>
      </c>
      <c r="AH461" s="292">
        <f t="shared" si="245"/>
        <v>985202000</v>
      </c>
      <c r="AI461" s="292">
        <f t="shared" si="245"/>
        <v>985202000</v>
      </c>
      <c r="AJ461" s="292">
        <f t="shared" si="245"/>
        <v>985202000</v>
      </c>
      <c r="AK461" s="292">
        <f t="shared" si="245"/>
        <v>0</v>
      </c>
      <c r="AL461" s="291"/>
      <c r="AM461" s="291">
        <f t="shared" si="245"/>
        <v>0</v>
      </c>
      <c r="AN461" s="293"/>
    </row>
    <row r="462" spans="1:40" s="481" customFormat="1" ht="19.5" customHeight="1">
      <c r="A462" s="263"/>
      <c r="B462" s="396" t="s">
        <v>172</v>
      </c>
      <c r="C462" s="304" t="s">
        <v>1397</v>
      </c>
      <c r="D462" s="490"/>
      <c r="E462" s="305"/>
      <c r="F462" s="306"/>
      <c r="G462" s="244"/>
      <c r="H462" s="244"/>
      <c r="I462" s="237"/>
      <c r="J462" s="237"/>
      <c r="K462" s="237"/>
      <c r="L462" s="237"/>
      <c r="M462" s="237"/>
      <c r="N462" s="239">
        <f>Q462+R462+S462</f>
        <v>3719.048</v>
      </c>
      <c r="O462" s="239"/>
      <c r="P462" s="239">
        <f t="shared" si="233"/>
        <v>3719.048</v>
      </c>
      <c r="Q462" s="239">
        <v>0</v>
      </c>
      <c r="R462" s="239">
        <v>0</v>
      </c>
      <c r="S462" s="239">
        <v>3719.048</v>
      </c>
      <c r="T462" s="488"/>
      <c r="U462" s="489"/>
      <c r="V462" s="240">
        <f>W462+X462</f>
        <v>4704250000</v>
      </c>
      <c r="W462" s="240">
        <v>4704250000</v>
      </c>
      <c r="X462" s="240"/>
      <c r="Y462" s="240"/>
      <c r="Z462" s="308"/>
      <c r="AA462" s="308"/>
      <c r="AB462" s="241">
        <f>Y462+Z462-AA462+X462</f>
        <v>0</v>
      </c>
      <c r="AC462" s="242">
        <f>AD462+AE462+AF462</f>
        <v>3719048000</v>
      </c>
      <c r="AD462" s="308"/>
      <c r="AE462" s="240"/>
      <c r="AF462" s="476">
        <v>3719048000</v>
      </c>
      <c r="AG462" s="240"/>
      <c r="AH462" s="240">
        <f>AI462+AL462</f>
        <v>985202000</v>
      </c>
      <c r="AI462" s="240">
        <f>SUM(AJ462:AK462)</f>
        <v>985202000</v>
      </c>
      <c r="AJ462" s="240">
        <f>W462-AF462-AG462</f>
        <v>985202000</v>
      </c>
      <c r="AK462" s="308"/>
      <c r="AL462" s="244"/>
      <c r="AM462" s="236">
        <f>AB462-AD462-AE462-AK462-AL462</f>
        <v>0</v>
      </c>
      <c r="AN462" s="472"/>
    </row>
    <row r="463" spans="1:40" s="474" customFormat="1" ht="19.5" customHeight="1">
      <c r="A463" s="275">
        <v>16</v>
      </c>
      <c r="B463" s="287" t="s">
        <v>173</v>
      </c>
      <c r="C463" s="288"/>
      <c r="D463" s="455"/>
      <c r="E463" s="289"/>
      <c r="F463" s="290"/>
      <c r="G463" s="291"/>
      <c r="H463" s="291"/>
      <c r="I463" s="282">
        <f>I464</f>
        <v>0</v>
      </c>
      <c r="J463" s="282"/>
      <c r="K463" s="282">
        <f>K464</f>
        <v>0</v>
      </c>
      <c r="L463" s="282"/>
      <c r="M463" s="282"/>
      <c r="N463" s="282">
        <f>N464</f>
        <v>646.616</v>
      </c>
      <c r="O463" s="282">
        <f aca="true" t="shared" si="246" ref="O463:AM463">O464</f>
        <v>0</v>
      </c>
      <c r="P463" s="282">
        <f t="shared" si="246"/>
        <v>646.616</v>
      </c>
      <c r="Q463" s="282">
        <f t="shared" si="246"/>
        <v>0</v>
      </c>
      <c r="R463" s="282">
        <f t="shared" si="246"/>
        <v>0</v>
      </c>
      <c r="S463" s="282">
        <f t="shared" si="246"/>
        <v>646.616</v>
      </c>
      <c r="T463" s="282">
        <f t="shared" si="246"/>
        <v>0</v>
      </c>
      <c r="U463" s="282">
        <f t="shared" si="246"/>
        <v>0</v>
      </c>
      <c r="V463" s="292">
        <f t="shared" si="246"/>
        <v>646616000</v>
      </c>
      <c r="W463" s="292">
        <f t="shared" si="246"/>
        <v>646616000</v>
      </c>
      <c r="X463" s="292">
        <f t="shared" si="246"/>
        <v>0</v>
      </c>
      <c r="Y463" s="292">
        <f>Y464</f>
        <v>0</v>
      </c>
      <c r="Z463" s="292">
        <f t="shared" si="246"/>
        <v>0</v>
      </c>
      <c r="AA463" s="292">
        <f t="shared" si="246"/>
        <v>0</v>
      </c>
      <c r="AB463" s="292">
        <f t="shared" si="246"/>
        <v>0</v>
      </c>
      <c r="AC463" s="292">
        <f t="shared" si="246"/>
        <v>646616000</v>
      </c>
      <c r="AD463" s="292">
        <f t="shared" si="246"/>
        <v>0</v>
      </c>
      <c r="AE463" s="292">
        <f t="shared" si="246"/>
        <v>0</v>
      </c>
      <c r="AF463" s="292">
        <f t="shared" si="246"/>
        <v>646616000</v>
      </c>
      <c r="AG463" s="292">
        <f t="shared" si="246"/>
        <v>0</v>
      </c>
      <c r="AH463" s="292">
        <f t="shared" si="246"/>
        <v>0</v>
      </c>
      <c r="AI463" s="292">
        <f t="shared" si="246"/>
        <v>0</v>
      </c>
      <c r="AJ463" s="292">
        <f t="shared" si="246"/>
        <v>0</v>
      </c>
      <c r="AK463" s="292">
        <f t="shared" si="246"/>
        <v>0</v>
      </c>
      <c r="AL463" s="291"/>
      <c r="AM463" s="291">
        <f t="shared" si="246"/>
        <v>0</v>
      </c>
      <c r="AN463" s="293"/>
    </row>
    <row r="464" spans="1:40" s="481" customFormat="1" ht="19.5" customHeight="1">
      <c r="A464" s="263"/>
      <c r="B464" s="396" t="s">
        <v>174</v>
      </c>
      <c r="C464" s="304"/>
      <c r="D464" s="490"/>
      <c r="E464" s="305"/>
      <c r="F464" s="306"/>
      <c r="G464" s="244"/>
      <c r="H464" s="244"/>
      <c r="I464" s="237"/>
      <c r="J464" s="237"/>
      <c r="K464" s="237"/>
      <c r="L464" s="237"/>
      <c r="M464" s="237"/>
      <c r="N464" s="239">
        <f>Q464+R464+S464</f>
        <v>646.616</v>
      </c>
      <c r="O464" s="239"/>
      <c r="P464" s="239">
        <f t="shared" si="233"/>
        <v>646.616</v>
      </c>
      <c r="Q464" s="239">
        <v>0</v>
      </c>
      <c r="R464" s="239">
        <v>0</v>
      </c>
      <c r="S464" s="239">
        <v>646.616</v>
      </c>
      <c r="T464" s="488"/>
      <c r="U464" s="489"/>
      <c r="V464" s="240">
        <f>W464+X464</f>
        <v>646616000</v>
      </c>
      <c r="W464" s="240">
        <v>646616000</v>
      </c>
      <c r="X464" s="240"/>
      <c r="Y464" s="240"/>
      <c r="Z464" s="308"/>
      <c r="AA464" s="308"/>
      <c r="AB464" s="241">
        <f>Y464+Z464-AA464+X464</f>
        <v>0</v>
      </c>
      <c r="AC464" s="242">
        <f>AD464+AE464+AF464</f>
        <v>646616000</v>
      </c>
      <c r="AD464" s="308"/>
      <c r="AE464" s="240"/>
      <c r="AF464" s="476">
        <v>646616000</v>
      </c>
      <c r="AG464" s="240"/>
      <c r="AH464" s="240">
        <f>AI464+AL464</f>
        <v>0</v>
      </c>
      <c r="AI464" s="240">
        <f>SUM(AJ464:AK464)</f>
        <v>0</v>
      </c>
      <c r="AJ464" s="240">
        <f>W464-AF464-AG464</f>
        <v>0</v>
      </c>
      <c r="AK464" s="308"/>
      <c r="AL464" s="244"/>
      <c r="AM464" s="236">
        <f>AB464-AD464-AE464-AK464-AL464</f>
        <v>0</v>
      </c>
      <c r="AN464" s="472"/>
    </row>
    <row r="465" spans="1:40" s="474" customFormat="1" ht="19.5" customHeight="1">
      <c r="A465" s="275">
        <v>17</v>
      </c>
      <c r="B465" s="287" t="s">
        <v>175</v>
      </c>
      <c r="C465" s="288"/>
      <c r="D465" s="455"/>
      <c r="E465" s="289"/>
      <c r="F465" s="290"/>
      <c r="G465" s="291"/>
      <c r="H465" s="291"/>
      <c r="I465" s="282">
        <f>SUM(I466:I468)</f>
        <v>0</v>
      </c>
      <c r="J465" s="282"/>
      <c r="K465" s="282">
        <f>SUM(K466:K468)</f>
        <v>0</v>
      </c>
      <c r="L465" s="282"/>
      <c r="M465" s="282"/>
      <c r="N465" s="282">
        <f>SUM(N466:N468)</f>
        <v>3077.654267</v>
      </c>
      <c r="O465" s="282">
        <f aca="true" t="shared" si="247" ref="O465:AK465">SUM(O466:O468)</f>
        <v>0</v>
      </c>
      <c r="P465" s="282">
        <f t="shared" si="247"/>
        <v>3077.654267</v>
      </c>
      <c r="Q465" s="282">
        <f t="shared" si="247"/>
        <v>0</v>
      </c>
      <c r="R465" s="282">
        <f t="shared" si="247"/>
        <v>0</v>
      </c>
      <c r="S465" s="282">
        <f t="shared" si="247"/>
        <v>3077.654267</v>
      </c>
      <c r="T465" s="282">
        <f t="shared" si="247"/>
        <v>0</v>
      </c>
      <c r="U465" s="282">
        <f t="shared" si="247"/>
        <v>0</v>
      </c>
      <c r="V465" s="292">
        <f t="shared" si="247"/>
        <v>3077654267</v>
      </c>
      <c r="W465" s="292">
        <f t="shared" si="247"/>
        <v>3077654267</v>
      </c>
      <c r="X465" s="292">
        <f t="shared" si="247"/>
        <v>0</v>
      </c>
      <c r="Y465" s="292">
        <f t="shared" si="247"/>
        <v>0</v>
      </c>
      <c r="Z465" s="292">
        <f t="shared" si="247"/>
        <v>0</v>
      </c>
      <c r="AA465" s="292">
        <f t="shared" si="247"/>
        <v>0</v>
      </c>
      <c r="AB465" s="292">
        <f t="shared" si="247"/>
        <v>0</v>
      </c>
      <c r="AC465" s="292">
        <f t="shared" si="247"/>
        <v>3077654267</v>
      </c>
      <c r="AD465" s="292">
        <f t="shared" si="247"/>
        <v>0</v>
      </c>
      <c r="AE465" s="292">
        <f t="shared" si="247"/>
        <v>0</v>
      </c>
      <c r="AF465" s="292">
        <f t="shared" si="247"/>
        <v>3077654267</v>
      </c>
      <c r="AG465" s="292">
        <f t="shared" si="247"/>
        <v>0</v>
      </c>
      <c r="AH465" s="292">
        <f t="shared" si="247"/>
        <v>0</v>
      </c>
      <c r="AI465" s="292">
        <f t="shared" si="247"/>
        <v>0</v>
      </c>
      <c r="AJ465" s="292">
        <f t="shared" si="247"/>
        <v>0</v>
      </c>
      <c r="AK465" s="292">
        <f t="shared" si="247"/>
        <v>0</v>
      </c>
      <c r="AL465" s="291"/>
      <c r="AM465" s="291">
        <f>SUM(AM466:AM468)</f>
        <v>0</v>
      </c>
      <c r="AN465" s="293"/>
    </row>
    <row r="466" spans="1:40" s="481" customFormat="1" ht="19.5" customHeight="1">
      <c r="A466" s="263"/>
      <c r="B466" s="396" t="s">
        <v>176</v>
      </c>
      <c r="C466" s="304" t="s">
        <v>1355</v>
      </c>
      <c r="D466" s="490"/>
      <c r="E466" s="305"/>
      <c r="F466" s="306"/>
      <c r="G466" s="244"/>
      <c r="H466" s="244"/>
      <c r="I466" s="237"/>
      <c r="J466" s="237"/>
      <c r="K466" s="237"/>
      <c r="L466" s="237"/>
      <c r="M466" s="237"/>
      <c r="N466" s="239">
        <f>Q466+R466+S466</f>
        <v>500</v>
      </c>
      <c r="O466" s="239"/>
      <c r="P466" s="239">
        <f t="shared" si="233"/>
        <v>500</v>
      </c>
      <c r="Q466" s="239">
        <v>0</v>
      </c>
      <c r="R466" s="239">
        <v>0</v>
      </c>
      <c r="S466" s="239">
        <v>500</v>
      </c>
      <c r="T466" s="488"/>
      <c r="U466" s="489"/>
      <c r="V466" s="240">
        <f>W466+X466</f>
        <v>500000000</v>
      </c>
      <c r="W466" s="240">
        <v>500000000</v>
      </c>
      <c r="X466" s="240"/>
      <c r="Y466" s="240"/>
      <c r="Z466" s="308"/>
      <c r="AA466" s="308"/>
      <c r="AB466" s="241">
        <f>Y466+Z466-AA466+X466</f>
        <v>0</v>
      </c>
      <c r="AC466" s="242">
        <f>AD466+AE466+AF466</f>
        <v>500000000</v>
      </c>
      <c r="AD466" s="308"/>
      <c r="AE466" s="240"/>
      <c r="AF466" s="476">
        <v>500000000</v>
      </c>
      <c r="AG466" s="240"/>
      <c r="AH466" s="240">
        <f>AI466+AL466</f>
        <v>0</v>
      </c>
      <c r="AI466" s="240">
        <f>SUM(AJ466:AK466)</f>
        <v>0</v>
      </c>
      <c r="AJ466" s="240">
        <f>W466-AF466-AG466</f>
        <v>0</v>
      </c>
      <c r="AK466" s="308"/>
      <c r="AL466" s="244"/>
      <c r="AM466" s="236">
        <f>AB466-AD466-AE466-AK466-AL466</f>
        <v>0</v>
      </c>
      <c r="AN466" s="472"/>
    </row>
    <row r="467" spans="1:40" s="481" customFormat="1" ht="19.5" customHeight="1">
      <c r="A467" s="263"/>
      <c r="B467" s="396" t="s">
        <v>1568</v>
      </c>
      <c r="C467" s="304" t="s">
        <v>1493</v>
      </c>
      <c r="D467" s="490"/>
      <c r="E467" s="305"/>
      <c r="F467" s="306"/>
      <c r="G467" s="244"/>
      <c r="H467" s="244"/>
      <c r="I467" s="237"/>
      <c r="J467" s="237"/>
      <c r="K467" s="237"/>
      <c r="L467" s="237"/>
      <c r="M467" s="237"/>
      <c r="N467" s="239">
        <f>Q467+R467+S467</f>
        <v>2427.654267</v>
      </c>
      <c r="O467" s="239"/>
      <c r="P467" s="239">
        <f t="shared" si="233"/>
        <v>2427.654267</v>
      </c>
      <c r="Q467" s="239">
        <v>0</v>
      </c>
      <c r="R467" s="239">
        <v>0</v>
      </c>
      <c r="S467" s="239">
        <v>2427.654267</v>
      </c>
      <c r="T467" s="488"/>
      <c r="U467" s="489"/>
      <c r="V467" s="240">
        <f>W467+X467</f>
        <v>2427654267</v>
      </c>
      <c r="W467" s="240">
        <v>2427654267</v>
      </c>
      <c r="X467" s="240"/>
      <c r="Y467" s="240"/>
      <c r="Z467" s="308"/>
      <c r="AA467" s="308"/>
      <c r="AB467" s="241">
        <f>Y467+Z467-AA467+X467</f>
        <v>0</v>
      </c>
      <c r="AC467" s="242">
        <f>AD467+AE467+AF467</f>
        <v>2427654267</v>
      </c>
      <c r="AD467" s="308"/>
      <c r="AE467" s="240"/>
      <c r="AF467" s="476">
        <v>2427654267</v>
      </c>
      <c r="AG467" s="240"/>
      <c r="AH467" s="240">
        <f>AI467+AL467</f>
        <v>0</v>
      </c>
      <c r="AI467" s="240">
        <f>SUM(AJ467:AK467)</f>
        <v>0</v>
      </c>
      <c r="AJ467" s="240">
        <f>W467-AF467-AG467</f>
        <v>0</v>
      </c>
      <c r="AK467" s="308"/>
      <c r="AL467" s="244"/>
      <c r="AM467" s="236">
        <f>AB467-AD467-AE467-AK467-AL467</f>
        <v>0</v>
      </c>
      <c r="AN467" s="472"/>
    </row>
    <row r="468" spans="1:40" s="481" customFormat="1" ht="19.5" customHeight="1">
      <c r="A468" s="263"/>
      <c r="B468" s="396" t="s">
        <v>287</v>
      </c>
      <c r="C468" s="304" t="s">
        <v>1397</v>
      </c>
      <c r="D468" s="490"/>
      <c r="E468" s="305"/>
      <c r="F468" s="306"/>
      <c r="G468" s="244"/>
      <c r="H468" s="244"/>
      <c r="I468" s="237"/>
      <c r="J468" s="237"/>
      <c r="K468" s="237"/>
      <c r="L468" s="237"/>
      <c r="M468" s="237"/>
      <c r="N468" s="239">
        <f>Q468+R468+S468</f>
        <v>150</v>
      </c>
      <c r="O468" s="239"/>
      <c r="P468" s="239">
        <f t="shared" si="233"/>
        <v>150</v>
      </c>
      <c r="Q468" s="239">
        <v>0</v>
      </c>
      <c r="R468" s="239">
        <v>0</v>
      </c>
      <c r="S468" s="239">
        <v>150</v>
      </c>
      <c r="T468" s="488"/>
      <c r="U468" s="489"/>
      <c r="V468" s="240">
        <f>W468+X468</f>
        <v>150000000</v>
      </c>
      <c r="W468" s="240">
        <v>150000000</v>
      </c>
      <c r="X468" s="240"/>
      <c r="Y468" s="240"/>
      <c r="Z468" s="308"/>
      <c r="AA468" s="308"/>
      <c r="AB468" s="241">
        <f>Y468+Z468-AA468+X468</f>
        <v>0</v>
      </c>
      <c r="AC468" s="242">
        <f>AD468+AE468+AF468</f>
        <v>150000000</v>
      </c>
      <c r="AD468" s="308"/>
      <c r="AE468" s="240"/>
      <c r="AF468" s="476">
        <v>150000000</v>
      </c>
      <c r="AG468" s="240"/>
      <c r="AH468" s="240">
        <f>AI468+AL468</f>
        <v>0</v>
      </c>
      <c r="AI468" s="240">
        <f>SUM(AJ468:AK468)</f>
        <v>0</v>
      </c>
      <c r="AJ468" s="240">
        <f>W468-AF468-AG468</f>
        <v>0</v>
      </c>
      <c r="AK468" s="308"/>
      <c r="AL468" s="244"/>
      <c r="AM468" s="236">
        <f>AB468-AD468-AE468-AK468-AL468</f>
        <v>0</v>
      </c>
      <c r="AN468" s="472"/>
    </row>
    <row r="469" spans="1:40" s="474" customFormat="1" ht="19.5" customHeight="1">
      <c r="A469" s="275">
        <v>18</v>
      </c>
      <c r="B469" s="287" t="s">
        <v>288</v>
      </c>
      <c r="C469" s="288"/>
      <c r="D469" s="455"/>
      <c r="E469" s="289"/>
      <c r="F469" s="290"/>
      <c r="G469" s="291"/>
      <c r="H469" s="291"/>
      <c r="I469" s="282">
        <f>SUM(I470:I473)</f>
        <v>0</v>
      </c>
      <c r="J469" s="282"/>
      <c r="K469" s="282">
        <f aca="true" t="shared" si="248" ref="K469:S469">SUM(K470:K473)</f>
        <v>0</v>
      </c>
      <c r="L469" s="282"/>
      <c r="M469" s="282"/>
      <c r="N469" s="282">
        <f t="shared" si="248"/>
        <v>5983.96</v>
      </c>
      <c r="O469" s="282">
        <f t="shared" si="248"/>
        <v>0</v>
      </c>
      <c r="P469" s="282">
        <f t="shared" si="248"/>
        <v>5983.96</v>
      </c>
      <c r="Q469" s="282">
        <f t="shared" si="248"/>
        <v>0</v>
      </c>
      <c r="R469" s="282">
        <f t="shared" si="248"/>
        <v>0</v>
      </c>
      <c r="S469" s="282">
        <f t="shared" si="248"/>
        <v>5983.96</v>
      </c>
      <c r="T469" s="282"/>
      <c r="U469" s="291"/>
      <c r="V469" s="292">
        <f aca="true" t="shared" si="249" ref="V469:AM469">SUM(V470:V473)</f>
        <v>12410924000</v>
      </c>
      <c r="W469" s="292">
        <f t="shared" si="249"/>
        <v>12410924000</v>
      </c>
      <c r="X469" s="292">
        <f t="shared" si="249"/>
        <v>0</v>
      </c>
      <c r="Y469" s="292">
        <f t="shared" si="249"/>
        <v>0</v>
      </c>
      <c r="Z469" s="292">
        <f t="shared" si="249"/>
        <v>0</v>
      </c>
      <c r="AA469" s="292">
        <f>SUM(AA470:AA473)</f>
        <v>0</v>
      </c>
      <c r="AB469" s="292">
        <f>SUM(AB470:AB473)</f>
        <v>0</v>
      </c>
      <c r="AC469" s="292">
        <f t="shared" si="249"/>
        <v>5983960000</v>
      </c>
      <c r="AD469" s="292">
        <f t="shared" si="249"/>
        <v>0</v>
      </c>
      <c r="AE469" s="292">
        <f t="shared" si="249"/>
        <v>0</v>
      </c>
      <c r="AF469" s="292">
        <f t="shared" si="249"/>
        <v>5983960000</v>
      </c>
      <c r="AG469" s="292">
        <f t="shared" si="249"/>
        <v>0</v>
      </c>
      <c r="AH469" s="292">
        <f t="shared" si="249"/>
        <v>6426964000</v>
      </c>
      <c r="AI469" s="292">
        <f t="shared" si="249"/>
        <v>6426964000</v>
      </c>
      <c r="AJ469" s="292">
        <f t="shared" si="249"/>
        <v>6426964000</v>
      </c>
      <c r="AK469" s="292">
        <f t="shared" si="249"/>
        <v>0</v>
      </c>
      <c r="AL469" s="291"/>
      <c r="AM469" s="291">
        <f t="shared" si="249"/>
        <v>0</v>
      </c>
      <c r="AN469" s="298"/>
    </row>
    <row r="470" spans="1:40" s="414" customFormat="1" ht="19.5" customHeight="1">
      <c r="A470" s="230"/>
      <c r="B470" s="231" t="s">
        <v>289</v>
      </c>
      <c r="C470" s="232" t="s">
        <v>290</v>
      </c>
      <c r="D470" s="233"/>
      <c r="E470" s="234"/>
      <c r="F470" s="235"/>
      <c r="G470" s="236"/>
      <c r="H470" s="236"/>
      <c r="I470" s="237"/>
      <c r="J470" s="238"/>
      <c r="K470" s="237"/>
      <c r="L470" s="237"/>
      <c r="M470" s="237"/>
      <c r="N470" s="239">
        <f>Q470+R470+S470</f>
        <v>120</v>
      </c>
      <c r="O470" s="239"/>
      <c r="P470" s="239">
        <f t="shared" si="233"/>
        <v>120</v>
      </c>
      <c r="Q470" s="239">
        <v>0</v>
      </c>
      <c r="R470" s="239">
        <v>0</v>
      </c>
      <c r="S470" s="239">
        <v>120</v>
      </c>
      <c r="T470" s="499"/>
      <c r="U470" s="500"/>
      <c r="V470" s="240">
        <f>W470+X470</f>
        <v>120000000</v>
      </c>
      <c r="W470" s="240">
        <v>120000000</v>
      </c>
      <c r="X470" s="240"/>
      <c r="Y470" s="240"/>
      <c r="Z470" s="302"/>
      <c r="AA470" s="302"/>
      <c r="AB470" s="241">
        <f>Y470+Z470-AA470+X470</f>
        <v>0</v>
      </c>
      <c r="AC470" s="242">
        <f>AD470+AE470+AF470</f>
        <v>120000000</v>
      </c>
      <c r="AD470" s="259"/>
      <c r="AE470" s="483"/>
      <c r="AF470" s="483">
        <v>120000000</v>
      </c>
      <c r="AG470" s="240"/>
      <c r="AH470" s="240">
        <f>AI470+AL470</f>
        <v>0</v>
      </c>
      <c r="AI470" s="240">
        <f>SUM(AJ470:AK470)</f>
        <v>0</v>
      </c>
      <c r="AJ470" s="240">
        <f>W470-AF470-AG470</f>
        <v>0</v>
      </c>
      <c r="AK470" s="302"/>
      <c r="AL470" s="244"/>
      <c r="AM470" s="236">
        <f>AB470-AD470-AE470-AK470-AL470</f>
        <v>0</v>
      </c>
      <c r="AN470" s="378"/>
    </row>
    <row r="471" spans="1:40" s="414" customFormat="1" ht="19.5" customHeight="1">
      <c r="A471" s="230"/>
      <c r="B471" s="231" t="s">
        <v>172</v>
      </c>
      <c r="C471" s="232"/>
      <c r="D471" s="233"/>
      <c r="E471" s="234"/>
      <c r="F471" s="235"/>
      <c r="G471" s="236"/>
      <c r="H471" s="236"/>
      <c r="I471" s="237"/>
      <c r="J471" s="238"/>
      <c r="K471" s="237"/>
      <c r="L471" s="237"/>
      <c r="M471" s="237"/>
      <c r="N471" s="239">
        <f>Q471+R471+S471</f>
        <v>4653.974</v>
      </c>
      <c r="O471" s="239"/>
      <c r="P471" s="239">
        <f t="shared" si="233"/>
        <v>4653.974</v>
      </c>
      <c r="Q471" s="239">
        <v>0</v>
      </c>
      <c r="R471" s="239">
        <v>0</v>
      </c>
      <c r="S471" s="239">
        <v>4653.974</v>
      </c>
      <c r="T471" s="499"/>
      <c r="U471" s="500"/>
      <c r="V471" s="240">
        <f>W471+X471</f>
        <v>9624014000</v>
      </c>
      <c r="W471" s="240">
        <v>9624014000</v>
      </c>
      <c r="X471" s="240"/>
      <c r="Y471" s="240"/>
      <c r="Z471" s="302"/>
      <c r="AA471" s="302"/>
      <c r="AB471" s="241">
        <f>Y471+Z471-AA471+X471</f>
        <v>0</v>
      </c>
      <c r="AC471" s="242">
        <f>AD471+AE471+AF471</f>
        <v>4653974000</v>
      </c>
      <c r="AD471" s="259"/>
      <c r="AE471" s="483"/>
      <c r="AF471" s="483">
        <v>4653974000</v>
      </c>
      <c r="AG471" s="240"/>
      <c r="AH471" s="240">
        <f>AI471+AL471</f>
        <v>4970040000</v>
      </c>
      <c r="AI471" s="240">
        <f>SUM(AJ471:AK471)</f>
        <v>4970040000</v>
      </c>
      <c r="AJ471" s="240">
        <f>W471-AF471-AG471</f>
        <v>4970040000</v>
      </c>
      <c r="AK471" s="302"/>
      <c r="AL471" s="244"/>
      <c r="AM471" s="236">
        <f>AB471-AD471-AE471-AK471-AL471</f>
        <v>0</v>
      </c>
      <c r="AN471" s="378"/>
    </row>
    <row r="472" spans="1:40" s="414" customFormat="1" ht="19.5" customHeight="1">
      <c r="A472" s="230"/>
      <c r="B472" s="231" t="s">
        <v>291</v>
      </c>
      <c r="C472" s="232"/>
      <c r="D472" s="233"/>
      <c r="E472" s="234"/>
      <c r="F472" s="235"/>
      <c r="G472" s="236"/>
      <c r="H472" s="236"/>
      <c r="I472" s="237"/>
      <c r="J472" s="238"/>
      <c r="K472" s="237"/>
      <c r="L472" s="237"/>
      <c r="M472" s="237"/>
      <c r="N472" s="239">
        <f>Q472+R472+S472</f>
        <v>1089.986</v>
      </c>
      <c r="O472" s="239"/>
      <c r="P472" s="239">
        <f t="shared" si="233"/>
        <v>1089.986</v>
      </c>
      <c r="Q472" s="239">
        <v>0</v>
      </c>
      <c r="R472" s="239">
        <v>0</v>
      </c>
      <c r="S472" s="239">
        <v>1089.986</v>
      </c>
      <c r="T472" s="499"/>
      <c r="U472" s="500"/>
      <c r="V472" s="240">
        <f>W472+X472</f>
        <v>2546910000</v>
      </c>
      <c r="W472" s="240">
        <v>2546910000</v>
      </c>
      <c r="X472" s="240"/>
      <c r="Y472" s="240"/>
      <c r="Z472" s="302"/>
      <c r="AA472" s="302"/>
      <c r="AB472" s="241">
        <f>Y472+Z472-AA472+X472</f>
        <v>0</v>
      </c>
      <c r="AC472" s="242">
        <f>AD472+AE472+AF472</f>
        <v>1089986000</v>
      </c>
      <c r="AD472" s="259"/>
      <c r="AE472" s="483"/>
      <c r="AF472" s="483">
        <v>1089986000</v>
      </c>
      <c r="AG472" s="240"/>
      <c r="AH472" s="240">
        <f>AI472+AL472</f>
        <v>1456924000</v>
      </c>
      <c r="AI472" s="240">
        <f>SUM(AJ472:AK472)</f>
        <v>1456924000</v>
      </c>
      <c r="AJ472" s="240">
        <f>W472-AF472-AG472</f>
        <v>1456924000</v>
      </c>
      <c r="AK472" s="302"/>
      <c r="AL472" s="244"/>
      <c r="AM472" s="236">
        <f>AB472-AD472-AE472-AK472-AL472</f>
        <v>0</v>
      </c>
      <c r="AN472" s="378"/>
    </row>
    <row r="473" spans="1:40" s="414" customFormat="1" ht="19.5" customHeight="1">
      <c r="A473" s="230"/>
      <c r="B473" s="231" t="s">
        <v>292</v>
      </c>
      <c r="C473" s="232"/>
      <c r="D473" s="233"/>
      <c r="E473" s="234"/>
      <c r="F473" s="235"/>
      <c r="G473" s="236"/>
      <c r="H473" s="236"/>
      <c r="I473" s="237"/>
      <c r="J473" s="238"/>
      <c r="K473" s="237"/>
      <c r="L473" s="237"/>
      <c r="M473" s="237"/>
      <c r="N473" s="239">
        <f>Q473+R473+S473</f>
        <v>120</v>
      </c>
      <c r="O473" s="239"/>
      <c r="P473" s="239">
        <f t="shared" si="233"/>
        <v>120</v>
      </c>
      <c r="Q473" s="239">
        <v>0</v>
      </c>
      <c r="R473" s="239">
        <v>0</v>
      </c>
      <c r="S473" s="239">
        <v>120</v>
      </c>
      <c r="T473" s="499"/>
      <c r="U473" s="500"/>
      <c r="V473" s="240">
        <f>W473+X473</f>
        <v>120000000</v>
      </c>
      <c r="W473" s="240">
        <v>120000000</v>
      </c>
      <c r="X473" s="240"/>
      <c r="Y473" s="240"/>
      <c r="Z473" s="302"/>
      <c r="AA473" s="302"/>
      <c r="AB473" s="241">
        <f>Y473+Z473-AA473+X473</f>
        <v>0</v>
      </c>
      <c r="AC473" s="242">
        <f>AD473+AE473+AF473</f>
        <v>120000000</v>
      </c>
      <c r="AD473" s="259"/>
      <c r="AE473" s="483"/>
      <c r="AF473" s="483">
        <v>120000000</v>
      </c>
      <c r="AG473" s="240"/>
      <c r="AH473" s="240">
        <f>AI473+AL473</f>
        <v>0</v>
      </c>
      <c r="AI473" s="240">
        <f>SUM(AJ473:AK473)</f>
        <v>0</v>
      </c>
      <c r="AJ473" s="240">
        <f>W473-AF473-AG473</f>
        <v>0</v>
      </c>
      <c r="AK473" s="302"/>
      <c r="AL473" s="244"/>
      <c r="AM473" s="236">
        <f>AB473-AD473-AE473-AK473-AL473</f>
        <v>0</v>
      </c>
      <c r="AN473" s="378"/>
    </row>
    <row r="474" spans="1:40" s="474" customFormat="1" ht="19.5" customHeight="1">
      <c r="A474" s="275">
        <v>19</v>
      </c>
      <c r="B474" s="287" t="s">
        <v>293</v>
      </c>
      <c r="C474" s="288"/>
      <c r="D474" s="455"/>
      <c r="E474" s="289"/>
      <c r="F474" s="290"/>
      <c r="G474" s="291"/>
      <c r="H474" s="291"/>
      <c r="I474" s="282">
        <f>SUM(I475:I478)</f>
        <v>0</v>
      </c>
      <c r="J474" s="282"/>
      <c r="K474" s="282">
        <f>SUM(K475:K478)</f>
        <v>0</v>
      </c>
      <c r="L474" s="282"/>
      <c r="M474" s="282"/>
      <c r="N474" s="282">
        <f aca="true" t="shared" si="250" ref="N474:S474">SUM(N475:N478)</f>
        <v>1344.0993349999999</v>
      </c>
      <c r="O474" s="282">
        <f t="shared" si="250"/>
        <v>0</v>
      </c>
      <c r="P474" s="282">
        <f t="shared" si="250"/>
        <v>1344.0993349999999</v>
      </c>
      <c r="Q474" s="282">
        <f t="shared" si="250"/>
        <v>0</v>
      </c>
      <c r="R474" s="282">
        <f t="shared" si="250"/>
        <v>0</v>
      </c>
      <c r="S474" s="282">
        <f t="shared" si="250"/>
        <v>1344.0993349999999</v>
      </c>
      <c r="T474" s="282"/>
      <c r="U474" s="291"/>
      <c r="V474" s="292">
        <f aca="true" t="shared" si="251" ref="V474:AK474">SUM(V475:V478)</f>
        <v>1655882098</v>
      </c>
      <c r="W474" s="292">
        <f t="shared" si="251"/>
        <v>1655882098</v>
      </c>
      <c r="X474" s="292">
        <f t="shared" si="251"/>
        <v>0</v>
      </c>
      <c r="Y474" s="292">
        <f t="shared" si="251"/>
        <v>0</v>
      </c>
      <c r="Z474" s="292">
        <f t="shared" si="251"/>
        <v>0</v>
      </c>
      <c r="AA474" s="292">
        <f t="shared" si="251"/>
        <v>0</v>
      </c>
      <c r="AB474" s="292">
        <f t="shared" si="251"/>
        <v>0</v>
      </c>
      <c r="AC474" s="292">
        <f t="shared" si="251"/>
        <v>1344099335</v>
      </c>
      <c r="AD474" s="292">
        <f t="shared" si="251"/>
        <v>0</v>
      </c>
      <c r="AE474" s="292">
        <f t="shared" si="251"/>
        <v>0</v>
      </c>
      <c r="AF474" s="292">
        <f t="shared" si="251"/>
        <v>1344099335</v>
      </c>
      <c r="AG474" s="292">
        <f t="shared" si="251"/>
        <v>3483947</v>
      </c>
      <c r="AH474" s="292">
        <f t="shared" si="251"/>
        <v>308298816</v>
      </c>
      <c r="AI474" s="292">
        <f t="shared" si="251"/>
        <v>308298816</v>
      </c>
      <c r="AJ474" s="292">
        <f t="shared" si="251"/>
        <v>308298816</v>
      </c>
      <c r="AK474" s="292">
        <f t="shared" si="251"/>
        <v>0</v>
      </c>
      <c r="AL474" s="291"/>
      <c r="AM474" s="291">
        <f>SUM(AM475:AM478)</f>
        <v>0</v>
      </c>
      <c r="AN474" s="298"/>
    </row>
    <row r="475" spans="1:40" s="414" customFormat="1" ht="19.5" customHeight="1">
      <c r="A475" s="230"/>
      <c r="B475" s="231" t="s">
        <v>294</v>
      </c>
      <c r="C475" s="232"/>
      <c r="D475" s="233"/>
      <c r="E475" s="234"/>
      <c r="F475" s="235"/>
      <c r="G475" s="236"/>
      <c r="H475" s="236"/>
      <c r="I475" s="237"/>
      <c r="J475" s="238"/>
      <c r="K475" s="237"/>
      <c r="L475" s="237"/>
      <c r="M475" s="237"/>
      <c r="N475" s="239">
        <f>Q475+R475+S475</f>
        <v>341.701184</v>
      </c>
      <c r="O475" s="239"/>
      <c r="P475" s="239">
        <f t="shared" si="233"/>
        <v>341.701184</v>
      </c>
      <c r="Q475" s="239">
        <v>0</v>
      </c>
      <c r="R475" s="239">
        <v>0</v>
      </c>
      <c r="S475" s="239">
        <v>341.701184</v>
      </c>
      <c r="T475" s="499"/>
      <c r="U475" s="500"/>
      <c r="V475" s="240">
        <f>W475+X475</f>
        <v>650000000</v>
      </c>
      <c r="W475" s="240">
        <v>650000000</v>
      </c>
      <c r="X475" s="240"/>
      <c r="Y475" s="240"/>
      <c r="Z475" s="302"/>
      <c r="AA475" s="302"/>
      <c r="AB475" s="241">
        <f>Y475+Z475-AA475+X475</f>
        <v>0</v>
      </c>
      <c r="AC475" s="242">
        <f>AD475+AE475+AF475</f>
        <v>341701184</v>
      </c>
      <c r="AD475" s="259"/>
      <c r="AE475" s="483"/>
      <c r="AF475" s="483">
        <v>341701184</v>
      </c>
      <c r="AG475" s="240"/>
      <c r="AH475" s="240">
        <f>AI475+AL475</f>
        <v>308298816</v>
      </c>
      <c r="AI475" s="240">
        <f>SUM(AJ475:AK475)</f>
        <v>308298816</v>
      </c>
      <c r="AJ475" s="240">
        <f>W475-AF475-AG475</f>
        <v>308298816</v>
      </c>
      <c r="AK475" s="302"/>
      <c r="AL475" s="244"/>
      <c r="AM475" s="236">
        <f>AB475-AD475-AE475-AK475-AL475</f>
        <v>0</v>
      </c>
      <c r="AN475" s="378"/>
    </row>
    <row r="476" spans="1:40" s="414" customFormat="1" ht="19.5" customHeight="1">
      <c r="A476" s="230"/>
      <c r="B476" s="231" t="s">
        <v>295</v>
      </c>
      <c r="C476" s="232"/>
      <c r="D476" s="233"/>
      <c r="E476" s="234"/>
      <c r="F476" s="235"/>
      <c r="G476" s="236"/>
      <c r="H476" s="236"/>
      <c r="I476" s="237"/>
      <c r="J476" s="238"/>
      <c r="K476" s="237"/>
      <c r="L476" s="237"/>
      <c r="M476" s="237"/>
      <c r="N476" s="239">
        <f>Q476+R476+S476</f>
        <v>318.329</v>
      </c>
      <c r="O476" s="239"/>
      <c r="P476" s="239">
        <f t="shared" si="233"/>
        <v>318.329</v>
      </c>
      <c r="Q476" s="239">
        <v>0</v>
      </c>
      <c r="R476" s="239">
        <v>0</v>
      </c>
      <c r="S476" s="239">
        <v>318.329</v>
      </c>
      <c r="T476" s="499"/>
      <c r="U476" s="500"/>
      <c r="V476" s="240">
        <f>W476+X476</f>
        <v>318329000</v>
      </c>
      <c r="W476" s="240">
        <v>318329000</v>
      </c>
      <c r="X476" s="240"/>
      <c r="Y476" s="240"/>
      <c r="Z476" s="302"/>
      <c r="AA476" s="302"/>
      <c r="AB476" s="241">
        <f>Y476+Z476-AA476+X476</f>
        <v>0</v>
      </c>
      <c r="AC476" s="242">
        <f>AD476+AE476+AF476</f>
        <v>318329000</v>
      </c>
      <c r="AD476" s="259"/>
      <c r="AE476" s="483"/>
      <c r="AF476" s="483">
        <v>318329000</v>
      </c>
      <c r="AG476" s="240"/>
      <c r="AH476" s="240">
        <f>AI476+AL476</f>
        <v>0</v>
      </c>
      <c r="AI476" s="240">
        <f>SUM(AJ476:AK476)</f>
        <v>0</v>
      </c>
      <c r="AJ476" s="240">
        <f>W476-AF476-AG476</f>
        <v>0</v>
      </c>
      <c r="AK476" s="302"/>
      <c r="AL476" s="244"/>
      <c r="AM476" s="236">
        <f>AB476-AD476-AE476-AK476-AL476</f>
        <v>0</v>
      </c>
      <c r="AN476" s="378"/>
    </row>
    <row r="477" spans="1:40" s="414" customFormat="1" ht="19.5" customHeight="1">
      <c r="A477" s="230"/>
      <c r="B477" s="231" t="s">
        <v>296</v>
      </c>
      <c r="C477" s="232"/>
      <c r="D477" s="233"/>
      <c r="E477" s="234"/>
      <c r="F477" s="235"/>
      <c r="G477" s="236"/>
      <c r="H477" s="236"/>
      <c r="I477" s="237"/>
      <c r="J477" s="238"/>
      <c r="K477" s="237"/>
      <c r="L477" s="237"/>
      <c r="M477" s="237"/>
      <c r="N477" s="239">
        <f>Q477+R477+S477</f>
        <v>494.95535</v>
      </c>
      <c r="O477" s="239"/>
      <c r="P477" s="239">
        <f t="shared" si="233"/>
        <v>494.95535</v>
      </c>
      <c r="Q477" s="239">
        <v>0</v>
      </c>
      <c r="R477" s="239">
        <v>0</v>
      </c>
      <c r="S477" s="239">
        <v>494.95535</v>
      </c>
      <c r="T477" s="499"/>
      <c r="U477" s="500"/>
      <c r="V477" s="240">
        <f>W477+X477</f>
        <v>494955350</v>
      </c>
      <c r="W477" s="240">
        <v>494955350</v>
      </c>
      <c r="X477" s="240"/>
      <c r="Y477" s="240"/>
      <c r="Z477" s="302"/>
      <c r="AA477" s="302"/>
      <c r="AB477" s="241">
        <f>Y477+Z477-AA477+X477</f>
        <v>0</v>
      </c>
      <c r="AC477" s="242">
        <f>AD477+AE477+AF477</f>
        <v>494955350</v>
      </c>
      <c r="AD477" s="259"/>
      <c r="AE477" s="483"/>
      <c r="AF477" s="483">
        <v>494955350</v>
      </c>
      <c r="AG477" s="240"/>
      <c r="AH477" s="240">
        <f>AI477+AL477</f>
        <v>0</v>
      </c>
      <c r="AI477" s="240">
        <f>SUM(AJ477:AK477)</f>
        <v>0</v>
      </c>
      <c r="AJ477" s="240">
        <f>W477-AF477-AG477</f>
        <v>0</v>
      </c>
      <c r="AK477" s="302"/>
      <c r="AL477" s="244"/>
      <c r="AM477" s="236">
        <f>AB477-AD477-AE477-AK477-AL477</f>
        <v>0</v>
      </c>
      <c r="AN477" s="378"/>
    </row>
    <row r="478" spans="1:40" s="414" customFormat="1" ht="19.5" customHeight="1">
      <c r="A478" s="230"/>
      <c r="B478" s="231" t="s">
        <v>297</v>
      </c>
      <c r="C478" s="232"/>
      <c r="D478" s="233"/>
      <c r="E478" s="234"/>
      <c r="F478" s="235"/>
      <c r="G478" s="236"/>
      <c r="H478" s="236"/>
      <c r="I478" s="237"/>
      <c r="J478" s="238"/>
      <c r="K478" s="237"/>
      <c r="L478" s="237"/>
      <c r="M478" s="237"/>
      <c r="N478" s="239">
        <f>Q478+R478+S478</f>
        <v>189.113801</v>
      </c>
      <c r="O478" s="239"/>
      <c r="P478" s="239">
        <f t="shared" si="233"/>
        <v>189.113801</v>
      </c>
      <c r="Q478" s="239">
        <v>0</v>
      </c>
      <c r="R478" s="239">
        <v>0</v>
      </c>
      <c r="S478" s="239">
        <v>189.113801</v>
      </c>
      <c r="T478" s="499"/>
      <c r="U478" s="500"/>
      <c r="V478" s="240">
        <f>W478+X478</f>
        <v>192597748</v>
      </c>
      <c r="W478" s="240">
        <v>192597748</v>
      </c>
      <c r="X478" s="240"/>
      <c r="Y478" s="240"/>
      <c r="Z478" s="302"/>
      <c r="AA478" s="302"/>
      <c r="AB478" s="241">
        <f>Y478+Z478-AA478+X478</f>
        <v>0</v>
      </c>
      <c r="AC478" s="242">
        <f>AD478+AE478+AF478</f>
        <v>189113801</v>
      </c>
      <c r="AD478" s="259"/>
      <c r="AE478" s="483"/>
      <c r="AF478" s="483">
        <v>189113801</v>
      </c>
      <c r="AG478" s="240">
        <v>3483947</v>
      </c>
      <c r="AH478" s="240">
        <f>AI478+AL478</f>
        <v>0</v>
      </c>
      <c r="AI478" s="240">
        <f>SUM(AJ478:AK478)</f>
        <v>0</v>
      </c>
      <c r="AJ478" s="240">
        <f>W478-AF478-AG478</f>
        <v>0</v>
      </c>
      <c r="AK478" s="302"/>
      <c r="AL478" s="244"/>
      <c r="AM478" s="236">
        <f>AB478-AD478-AE478-AK478-AL478</f>
        <v>0</v>
      </c>
      <c r="AN478" s="378"/>
    </row>
    <row r="479" spans="1:40" s="474" customFormat="1" ht="19.5" customHeight="1">
      <c r="A479" s="275">
        <v>20</v>
      </c>
      <c r="B479" s="287" t="s">
        <v>298</v>
      </c>
      <c r="C479" s="288"/>
      <c r="D479" s="455"/>
      <c r="E479" s="289"/>
      <c r="F479" s="290"/>
      <c r="G479" s="291"/>
      <c r="H479" s="291"/>
      <c r="I479" s="282">
        <f>SUM(I480:I481)</f>
        <v>0</v>
      </c>
      <c r="J479" s="282"/>
      <c r="K479" s="282">
        <f>SUM(K480:K481)</f>
        <v>0</v>
      </c>
      <c r="L479" s="282"/>
      <c r="M479" s="282"/>
      <c r="N479" s="282">
        <f aca="true" t="shared" si="252" ref="N479:S479">SUM(N480:N481)</f>
        <v>5947.802939</v>
      </c>
      <c r="O479" s="282">
        <f t="shared" si="252"/>
        <v>0</v>
      </c>
      <c r="P479" s="282">
        <f t="shared" si="252"/>
        <v>5947.802939</v>
      </c>
      <c r="Q479" s="282">
        <f t="shared" si="252"/>
        <v>0</v>
      </c>
      <c r="R479" s="282">
        <f t="shared" si="252"/>
        <v>0</v>
      </c>
      <c r="S479" s="282">
        <f t="shared" si="252"/>
        <v>5947.802939</v>
      </c>
      <c r="T479" s="282"/>
      <c r="U479" s="291"/>
      <c r="V479" s="292">
        <f aca="true" t="shared" si="253" ref="V479:AK479">SUM(V480:V481)</f>
        <v>19072832484</v>
      </c>
      <c r="W479" s="292">
        <f t="shared" si="253"/>
        <v>19072832484</v>
      </c>
      <c r="X479" s="292">
        <f t="shared" si="253"/>
        <v>0</v>
      </c>
      <c r="Y479" s="292">
        <f t="shared" si="253"/>
        <v>0</v>
      </c>
      <c r="Z479" s="292">
        <f t="shared" si="253"/>
        <v>0</v>
      </c>
      <c r="AA479" s="292">
        <f t="shared" si="253"/>
        <v>0</v>
      </c>
      <c r="AB479" s="292">
        <f t="shared" si="253"/>
        <v>0</v>
      </c>
      <c r="AC479" s="292">
        <f t="shared" si="253"/>
        <v>5947802939</v>
      </c>
      <c r="AD479" s="292">
        <f t="shared" si="253"/>
        <v>0</v>
      </c>
      <c r="AE479" s="292">
        <f t="shared" si="253"/>
        <v>0</v>
      </c>
      <c r="AF479" s="292">
        <f t="shared" si="253"/>
        <v>5947802939</v>
      </c>
      <c r="AG479" s="292">
        <f t="shared" si="253"/>
        <v>616668260</v>
      </c>
      <c r="AH479" s="292">
        <f t="shared" si="253"/>
        <v>12508361285</v>
      </c>
      <c r="AI479" s="292">
        <f t="shared" si="253"/>
        <v>12508361285</v>
      </c>
      <c r="AJ479" s="292">
        <f t="shared" si="253"/>
        <v>12508361285</v>
      </c>
      <c r="AK479" s="292">
        <f t="shared" si="253"/>
        <v>0</v>
      </c>
      <c r="AL479" s="291"/>
      <c r="AM479" s="291">
        <f>SUM(AM480:AM481)</f>
        <v>0</v>
      </c>
      <c r="AN479" s="298"/>
    </row>
    <row r="480" spans="1:40" s="414" customFormat="1" ht="19.5" customHeight="1">
      <c r="A480" s="230"/>
      <c r="B480" s="231" t="s">
        <v>299</v>
      </c>
      <c r="C480" s="232"/>
      <c r="D480" s="233"/>
      <c r="E480" s="234"/>
      <c r="F480" s="235"/>
      <c r="G480" s="236"/>
      <c r="H480" s="236"/>
      <c r="I480" s="237"/>
      <c r="J480" s="238"/>
      <c r="K480" s="237"/>
      <c r="L480" s="237"/>
      <c r="M480" s="237"/>
      <c r="N480" s="239">
        <f>Q480+R480+S480</f>
        <v>5315.977656</v>
      </c>
      <c r="O480" s="239"/>
      <c r="P480" s="239">
        <f t="shared" si="233"/>
        <v>5315.977656</v>
      </c>
      <c r="Q480" s="239">
        <v>0</v>
      </c>
      <c r="R480" s="239">
        <v>0</v>
      </c>
      <c r="S480" s="239">
        <v>5315.977656</v>
      </c>
      <c r="T480" s="488"/>
      <c r="U480" s="489"/>
      <c r="V480" s="240">
        <f>W480+X480</f>
        <v>17592464000</v>
      </c>
      <c r="W480" s="240">
        <v>17592464000</v>
      </c>
      <c r="X480" s="240"/>
      <c r="Y480" s="240"/>
      <c r="Z480" s="302"/>
      <c r="AA480" s="302"/>
      <c r="AB480" s="241">
        <f>Y480+Z480-AA480+X480</f>
        <v>0</v>
      </c>
      <c r="AC480" s="242">
        <f>AD480+AE480+AF480</f>
        <v>5315977656</v>
      </c>
      <c r="AD480" s="259"/>
      <c r="AE480" s="483"/>
      <c r="AF480" s="476">
        <v>5315977656</v>
      </c>
      <c r="AG480" s="240"/>
      <c r="AH480" s="240">
        <f>AI480+AL480</f>
        <v>12276486344</v>
      </c>
      <c r="AI480" s="240">
        <f>SUM(AJ480:AK480)</f>
        <v>12276486344</v>
      </c>
      <c r="AJ480" s="240">
        <f>W480-AF480-AG480</f>
        <v>12276486344</v>
      </c>
      <c r="AK480" s="302"/>
      <c r="AL480" s="244"/>
      <c r="AM480" s="236">
        <f>AB480-AD480-AE480-AK480-AL480</f>
        <v>0</v>
      </c>
      <c r="AN480" s="378"/>
    </row>
    <row r="481" spans="1:40" s="414" customFormat="1" ht="19.5" customHeight="1">
      <c r="A481" s="230"/>
      <c r="B481" s="231" t="s">
        <v>300</v>
      </c>
      <c r="C481" s="232"/>
      <c r="D481" s="233"/>
      <c r="E481" s="234"/>
      <c r="F481" s="235"/>
      <c r="G481" s="236"/>
      <c r="H481" s="236"/>
      <c r="I481" s="237"/>
      <c r="J481" s="238"/>
      <c r="K481" s="237"/>
      <c r="L481" s="237"/>
      <c r="M481" s="237"/>
      <c r="N481" s="239">
        <f>Q481+R481+S481</f>
        <v>631.825283</v>
      </c>
      <c r="O481" s="239"/>
      <c r="P481" s="239">
        <f t="shared" si="233"/>
        <v>631.825283</v>
      </c>
      <c r="Q481" s="239">
        <v>0</v>
      </c>
      <c r="R481" s="239">
        <v>0</v>
      </c>
      <c r="S481" s="239">
        <v>631.825283</v>
      </c>
      <c r="T481" s="488"/>
      <c r="U481" s="489"/>
      <c r="V481" s="240">
        <f>W481+X481</f>
        <v>1480368484</v>
      </c>
      <c r="W481" s="240">
        <v>1480368484</v>
      </c>
      <c r="X481" s="240"/>
      <c r="Y481" s="240"/>
      <c r="Z481" s="302"/>
      <c r="AA481" s="302"/>
      <c r="AB481" s="241">
        <f>Y481+Z481-AA481+X481</f>
        <v>0</v>
      </c>
      <c r="AC481" s="242">
        <f>AD481+AE481+AF481</f>
        <v>631825283</v>
      </c>
      <c r="AD481" s="259"/>
      <c r="AE481" s="483"/>
      <c r="AF481" s="476">
        <v>631825283</v>
      </c>
      <c r="AG481" s="240">
        <v>616668260</v>
      </c>
      <c r="AH481" s="240">
        <f>AI481+AL481</f>
        <v>231874941</v>
      </c>
      <c r="AI481" s="240">
        <f>SUM(AJ481:AK481)</f>
        <v>231874941</v>
      </c>
      <c r="AJ481" s="240">
        <f>W481-AF481-AG481</f>
        <v>231874941</v>
      </c>
      <c r="AK481" s="302"/>
      <c r="AL481" s="244"/>
      <c r="AM481" s="236">
        <f>AB481-AD481-AE481-AK481-AL481</f>
        <v>0</v>
      </c>
      <c r="AN481" s="378"/>
    </row>
    <row r="482" spans="1:148" s="501" customFormat="1" ht="19.5" customHeight="1">
      <c r="A482" s="216">
        <v>21</v>
      </c>
      <c r="B482" s="217" t="s">
        <v>301</v>
      </c>
      <c r="C482" s="218"/>
      <c r="D482" s="456"/>
      <c r="E482" s="219"/>
      <c r="F482" s="221"/>
      <c r="G482" s="221"/>
      <c r="H482" s="221"/>
      <c r="I482" s="222">
        <f>SUM(I483:I499)</f>
        <v>24079</v>
      </c>
      <c r="J482" s="222">
        <f aca="true" t="shared" si="254" ref="J482:U482">SUM(J483:J499)</f>
        <v>5500</v>
      </c>
      <c r="K482" s="222">
        <f t="shared" si="254"/>
        <v>24079</v>
      </c>
      <c r="L482" s="222">
        <f t="shared" si="254"/>
        <v>0</v>
      </c>
      <c r="M482" s="222">
        <f t="shared" si="254"/>
        <v>0</v>
      </c>
      <c r="N482" s="222">
        <f t="shared" si="254"/>
        <v>20756.05</v>
      </c>
      <c r="O482" s="222">
        <f t="shared" si="254"/>
        <v>4000</v>
      </c>
      <c r="P482" s="222">
        <f t="shared" si="254"/>
        <v>20756.05</v>
      </c>
      <c r="Q482" s="222">
        <f t="shared" si="254"/>
        <v>16804.74</v>
      </c>
      <c r="R482" s="222">
        <f t="shared" si="254"/>
        <v>3951.31</v>
      </c>
      <c r="S482" s="222">
        <f t="shared" si="254"/>
        <v>0</v>
      </c>
      <c r="T482" s="222">
        <f t="shared" si="254"/>
        <v>0</v>
      </c>
      <c r="U482" s="222">
        <f t="shared" si="254"/>
        <v>0</v>
      </c>
      <c r="V482" s="223">
        <f>SUM(V483)</f>
        <v>0</v>
      </c>
      <c r="W482" s="223">
        <f>SUM(W483)</f>
        <v>0</v>
      </c>
      <c r="X482" s="223">
        <f>SUM(X483)</f>
        <v>0</v>
      </c>
      <c r="Y482" s="223">
        <f>SUM(Y483)</f>
        <v>0</v>
      </c>
      <c r="Z482" s="223">
        <f aca="true" t="shared" si="255" ref="Z482:AM482">SUM(Z483)</f>
        <v>0</v>
      </c>
      <c r="AA482" s="223">
        <f t="shared" si="255"/>
        <v>0</v>
      </c>
      <c r="AB482" s="223">
        <f t="shared" si="255"/>
        <v>0</v>
      </c>
      <c r="AC482" s="223">
        <f t="shared" si="255"/>
        <v>0</v>
      </c>
      <c r="AD482" s="223">
        <f t="shared" si="255"/>
        <v>0</v>
      </c>
      <c r="AE482" s="223">
        <f t="shared" si="255"/>
        <v>0</v>
      </c>
      <c r="AF482" s="223">
        <f t="shared" si="255"/>
        <v>0</v>
      </c>
      <c r="AG482" s="223">
        <f t="shared" si="255"/>
        <v>0</v>
      </c>
      <c r="AH482" s="223">
        <f t="shared" si="255"/>
        <v>0</v>
      </c>
      <c r="AI482" s="223">
        <f t="shared" si="255"/>
        <v>0</v>
      </c>
      <c r="AJ482" s="223">
        <f t="shared" si="255"/>
        <v>0</v>
      </c>
      <c r="AK482" s="223">
        <f t="shared" si="255"/>
        <v>0</v>
      </c>
      <c r="AL482" s="223">
        <f t="shared" si="255"/>
        <v>0</v>
      </c>
      <c r="AM482" s="223">
        <f t="shared" si="255"/>
        <v>0</v>
      </c>
      <c r="AN482" s="196"/>
      <c r="AO482" s="196"/>
      <c r="AP482" s="196"/>
      <c r="AQ482" s="196"/>
      <c r="AR482" s="196"/>
      <c r="AS482" s="196"/>
      <c r="AT482" s="196"/>
      <c r="AU482" s="196"/>
      <c r="AV482" s="196"/>
      <c r="AW482" s="196"/>
      <c r="AX482" s="196"/>
      <c r="AY482" s="196"/>
      <c r="AZ482" s="196"/>
      <c r="BA482" s="196"/>
      <c r="BB482" s="196"/>
      <c r="BC482" s="196"/>
      <c r="BD482" s="196"/>
      <c r="BE482" s="196"/>
      <c r="BF482" s="196"/>
      <c r="BG482" s="196"/>
      <c r="BH482" s="196"/>
      <c r="BI482" s="196"/>
      <c r="BJ482" s="196"/>
      <c r="BK482" s="196"/>
      <c r="BL482" s="196"/>
      <c r="BM482" s="196"/>
      <c r="BN482" s="196"/>
      <c r="BO482" s="196"/>
      <c r="BP482" s="196"/>
      <c r="BQ482" s="196"/>
      <c r="BR482" s="196"/>
      <c r="BS482" s="196"/>
      <c r="BT482" s="196"/>
      <c r="BU482" s="196"/>
      <c r="BV482" s="196"/>
      <c r="BW482" s="196"/>
      <c r="BX482" s="196"/>
      <c r="BY482" s="196"/>
      <c r="BZ482" s="196"/>
      <c r="CA482" s="196"/>
      <c r="CB482" s="196"/>
      <c r="CC482" s="196"/>
      <c r="CD482" s="196"/>
      <c r="CE482" s="196"/>
      <c r="CF482" s="196"/>
      <c r="CG482" s="196"/>
      <c r="CH482" s="196"/>
      <c r="CI482" s="196"/>
      <c r="CJ482" s="196"/>
      <c r="CK482" s="196"/>
      <c r="CL482" s="196"/>
      <c r="CM482" s="196"/>
      <c r="CN482" s="196"/>
      <c r="CO482" s="196"/>
      <c r="CP482" s="196"/>
      <c r="CQ482" s="196"/>
      <c r="CR482" s="196"/>
      <c r="CS482" s="196"/>
      <c r="CT482" s="196"/>
      <c r="CU482" s="196"/>
      <c r="CV482" s="196"/>
      <c r="CW482" s="196"/>
      <c r="CX482" s="196"/>
      <c r="CY482" s="196"/>
      <c r="CZ482" s="196"/>
      <c r="DA482" s="196"/>
      <c r="DB482" s="196"/>
      <c r="DC482" s="196"/>
      <c r="DD482" s="196"/>
      <c r="DE482" s="196"/>
      <c r="DF482" s="196"/>
      <c r="DG482" s="196"/>
      <c r="DH482" s="196"/>
      <c r="DI482" s="196"/>
      <c r="DJ482" s="196"/>
      <c r="DK482" s="196"/>
      <c r="DL482" s="196"/>
      <c r="DM482" s="196"/>
      <c r="DN482" s="196"/>
      <c r="DO482" s="196"/>
      <c r="DP482" s="196"/>
      <c r="DQ482" s="196"/>
      <c r="DR482" s="196"/>
      <c r="DS482" s="196"/>
      <c r="DT482" s="196"/>
      <c r="DU482" s="196"/>
      <c r="DV482" s="196"/>
      <c r="DW482" s="196"/>
      <c r="DX482" s="196"/>
      <c r="DY482" s="196"/>
      <c r="DZ482" s="196"/>
      <c r="EA482" s="196"/>
      <c r="EB482" s="196"/>
      <c r="EC482" s="196"/>
      <c r="ED482" s="196"/>
      <c r="EE482" s="196"/>
      <c r="EF482" s="196"/>
      <c r="EG482" s="196"/>
      <c r="EH482" s="196"/>
      <c r="EI482" s="196"/>
      <c r="EJ482" s="196"/>
      <c r="EK482" s="196"/>
      <c r="EL482" s="196"/>
      <c r="EM482" s="196"/>
      <c r="EN482" s="196"/>
      <c r="EO482" s="196"/>
      <c r="EP482" s="196"/>
      <c r="EQ482" s="196"/>
      <c r="ER482" s="196"/>
    </row>
    <row r="483" spans="1:40" s="506" customFormat="1" ht="19.5" customHeight="1">
      <c r="A483" s="263"/>
      <c r="B483" s="478" t="s">
        <v>302</v>
      </c>
      <c r="C483" s="502" t="s">
        <v>1371</v>
      </c>
      <c r="D483" s="502"/>
      <c r="E483" s="503"/>
      <c r="F483" s="504"/>
      <c r="G483" s="504"/>
      <c r="H483" s="504"/>
      <c r="I483" s="240">
        <v>1850</v>
      </c>
      <c r="J483" s="240"/>
      <c r="K483" s="240">
        <v>1850</v>
      </c>
      <c r="L483" s="240"/>
      <c r="M483" s="240"/>
      <c r="N483" s="239">
        <f>SUM(P483,U483)</f>
        <v>1790.118</v>
      </c>
      <c r="O483" s="239"/>
      <c r="P483" s="239">
        <f>SUM(Q483:S483)</f>
        <v>1790.118</v>
      </c>
      <c r="Q483" s="505">
        <v>1790.118</v>
      </c>
      <c r="R483" s="307"/>
      <c r="S483" s="307"/>
      <c r="T483" s="307"/>
      <c r="U483" s="306"/>
      <c r="V483" s="240"/>
      <c r="W483" s="240"/>
      <c r="X483" s="240"/>
      <c r="Y483" s="240"/>
      <c r="Z483" s="308"/>
      <c r="AA483" s="308"/>
      <c r="AB483" s="241"/>
      <c r="AC483" s="242"/>
      <c r="AD483" s="259"/>
      <c r="AE483" s="308"/>
      <c r="AF483" s="308"/>
      <c r="AG483" s="240"/>
      <c r="AH483" s="240"/>
      <c r="AI483" s="240"/>
      <c r="AJ483" s="240"/>
      <c r="AK483" s="308"/>
      <c r="AL483" s="244"/>
      <c r="AM483" s="236"/>
      <c r="AN483" s="378"/>
    </row>
    <row r="484" spans="1:40" s="506" customFormat="1" ht="19.5" customHeight="1">
      <c r="A484" s="263"/>
      <c r="B484" s="478" t="s">
        <v>303</v>
      </c>
      <c r="C484" s="502" t="s">
        <v>304</v>
      </c>
      <c r="D484" s="502"/>
      <c r="E484" s="503"/>
      <c r="F484" s="504"/>
      <c r="G484" s="504"/>
      <c r="H484" s="504"/>
      <c r="I484" s="240">
        <v>2037</v>
      </c>
      <c r="J484" s="240"/>
      <c r="K484" s="240">
        <v>2037</v>
      </c>
      <c r="L484" s="240"/>
      <c r="M484" s="240"/>
      <c r="N484" s="239">
        <f aca="true" t="shared" si="256" ref="N484:N499">SUM(P484,U484)</f>
        <v>1952.845</v>
      </c>
      <c r="O484" s="239"/>
      <c r="P484" s="239">
        <f aca="true" t="shared" si="257" ref="P484:P499">SUM(Q484:S484)</f>
        <v>1952.845</v>
      </c>
      <c r="Q484" s="505">
        <v>1952.845</v>
      </c>
      <c r="R484" s="307"/>
      <c r="S484" s="307"/>
      <c r="T484" s="307"/>
      <c r="U484" s="306"/>
      <c r="V484" s="240"/>
      <c r="W484" s="240"/>
      <c r="X484" s="240"/>
      <c r="Y484" s="240"/>
      <c r="Z484" s="308"/>
      <c r="AA484" s="308"/>
      <c r="AB484" s="241"/>
      <c r="AC484" s="242"/>
      <c r="AD484" s="259"/>
      <c r="AE484" s="308"/>
      <c r="AF484" s="308"/>
      <c r="AG484" s="240"/>
      <c r="AH484" s="240"/>
      <c r="AI484" s="240"/>
      <c r="AJ484" s="240"/>
      <c r="AK484" s="308"/>
      <c r="AL484" s="244"/>
      <c r="AM484" s="236"/>
      <c r="AN484" s="378"/>
    </row>
    <row r="485" spans="1:40" s="506" customFormat="1" ht="19.5" customHeight="1">
      <c r="A485" s="263"/>
      <c r="B485" s="478" t="s">
        <v>305</v>
      </c>
      <c r="C485" s="502" t="s">
        <v>1371</v>
      </c>
      <c r="D485" s="502"/>
      <c r="E485" s="503"/>
      <c r="F485" s="504"/>
      <c r="G485" s="504"/>
      <c r="H485" s="504"/>
      <c r="I485" s="240">
        <v>2385</v>
      </c>
      <c r="J485" s="240"/>
      <c r="K485" s="240">
        <v>2385</v>
      </c>
      <c r="L485" s="240"/>
      <c r="M485" s="240"/>
      <c r="N485" s="239">
        <f t="shared" si="256"/>
        <v>2352.623</v>
      </c>
      <c r="O485" s="239"/>
      <c r="P485" s="239">
        <f t="shared" si="257"/>
        <v>2352.623</v>
      </c>
      <c r="Q485" s="505">
        <v>2352.623</v>
      </c>
      <c r="R485" s="307"/>
      <c r="S485" s="307"/>
      <c r="T485" s="307"/>
      <c r="U485" s="306"/>
      <c r="V485" s="240"/>
      <c r="W485" s="240"/>
      <c r="X485" s="240"/>
      <c r="Y485" s="240"/>
      <c r="Z485" s="308"/>
      <c r="AA485" s="308"/>
      <c r="AB485" s="241"/>
      <c r="AC485" s="242"/>
      <c r="AD485" s="259"/>
      <c r="AE485" s="308"/>
      <c r="AF485" s="308"/>
      <c r="AG485" s="240"/>
      <c r="AH485" s="240"/>
      <c r="AI485" s="240"/>
      <c r="AJ485" s="240"/>
      <c r="AK485" s="308"/>
      <c r="AL485" s="244"/>
      <c r="AM485" s="236"/>
      <c r="AN485" s="378"/>
    </row>
    <row r="486" spans="1:40" s="506" customFormat="1" ht="19.5" customHeight="1">
      <c r="A486" s="263"/>
      <c r="B486" s="478" t="s">
        <v>306</v>
      </c>
      <c r="C486" s="502" t="s">
        <v>304</v>
      </c>
      <c r="D486" s="502"/>
      <c r="E486" s="503"/>
      <c r="F486" s="504"/>
      <c r="G486" s="504"/>
      <c r="H486" s="504"/>
      <c r="I486" s="240">
        <v>3547</v>
      </c>
      <c r="J486" s="240"/>
      <c r="K486" s="240">
        <v>3547</v>
      </c>
      <c r="L486" s="240"/>
      <c r="M486" s="240"/>
      <c r="N486" s="239">
        <f t="shared" si="256"/>
        <v>3547</v>
      </c>
      <c r="O486" s="239"/>
      <c r="P486" s="239">
        <f t="shared" si="257"/>
        <v>3547</v>
      </c>
      <c r="Q486" s="505">
        <v>3547</v>
      </c>
      <c r="R486" s="307"/>
      <c r="S486" s="307"/>
      <c r="T486" s="307"/>
      <c r="U486" s="306"/>
      <c r="V486" s="240"/>
      <c r="W486" s="240"/>
      <c r="X486" s="240"/>
      <c r="Y486" s="240"/>
      <c r="Z486" s="308"/>
      <c r="AA486" s="308"/>
      <c r="AB486" s="241"/>
      <c r="AC486" s="242"/>
      <c r="AD486" s="259"/>
      <c r="AE486" s="308"/>
      <c r="AF486" s="308"/>
      <c r="AG486" s="240"/>
      <c r="AH486" s="240"/>
      <c r="AI486" s="240"/>
      <c r="AJ486" s="240"/>
      <c r="AK486" s="308"/>
      <c r="AL486" s="244"/>
      <c r="AM486" s="236"/>
      <c r="AN486" s="378"/>
    </row>
    <row r="487" spans="1:40" s="506" customFormat="1" ht="19.5" customHeight="1">
      <c r="A487" s="263"/>
      <c r="B487" s="478" t="s">
        <v>307</v>
      </c>
      <c r="C487" s="502" t="s">
        <v>1371</v>
      </c>
      <c r="D487" s="502"/>
      <c r="E487" s="503"/>
      <c r="F487" s="504"/>
      <c r="G487" s="504"/>
      <c r="H487" s="504"/>
      <c r="I487" s="240"/>
      <c r="J487" s="240"/>
      <c r="K487" s="240"/>
      <c r="L487" s="240"/>
      <c r="M487" s="240"/>
      <c r="N487" s="239">
        <f t="shared" si="256"/>
        <v>-48.69</v>
      </c>
      <c r="O487" s="239"/>
      <c r="P487" s="239">
        <f t="shared" si="257"/>
        <v>-48.69</v>
      </c>
      <c r="Q487" s="505"/>
      <c r="R487" s="307">
        <v>-48.69</v>
      </c>
      <c r="S487" s="307"/>
      <c r="T487" s="307"/>
      <c r="U487" s="306"/>
      <c r="V487" s="240"/>
      <c r="W487" s="240"/>
      <c r="X487" s="240"/>
      <c r="Y487" s="240"/>
      <c r="Z487" s="308"/>
      <c r="AA487" s="308"/>
      <c r="AB487" s="241"/>
      <c r="AC487" s="242"/>
      <c r="AD487" s="259"/>
      <c r="AE487" s="308"/>
      <c r="AF487" s="308"/>
      <c r="AG487" s="240"/>
      <c r="AH487" s="240"/>
      <c r="AI487" s="240"/>
      <c r="AJ487" s="240"/>
      <c r="AK487" s="308"/>
      <c r="AL487" s="244"/>
      <c r="AM487" s="236"/>
      <c r="AN487" s="378"/>
    </row>
    <row r="488" spans="1:40" s="506" customFormat="1" ht="19.5" customHeight="1">
      <c r="A488" s="263"/>
      <c r="B488" s="478" t="s">
        <v>308</v>
      </c>
      <c r="C488" s="502" t="s">
        <v>1624</v>
      </c>
      <c r="D488" s="502"/>
      <c r="E488" s="503" t="s">
        <v>309</v>
      </c>
      <c r="F488" s="504">
        <v>801</v>
      </c>
      <c r="G488" s="504">
        <v>621</v>
      </c>
      <c r="H488" s="504">
        <v>621</v>
      </c>
      <c r="I488" s="240">
        <v>890</v>
      </c>
      <c r="J488" s="240">
        <v>500</v>
      </c>
      <c r="K488" s="240">
        <v>890</v>
      </c>
      <c r="L488" s="240"/>
      <c r="M488" s="240"/>
      <c r="N488" s="239">
        <f t="shared" si="256"/>
        <v>621.22</v>
      </c>
      <c r="O488" s="239"/>
      <c r="P488" s="239">
        <f t="shared" si="257"/>
        <v>621.22</v>
      </c>
      <c r="Q488" s="505">
        <v>621.22</v>
      </c>
      <c r="R488" s="307"/>
      <c r="S488" s="307"/>
      <c r="T488" s="307"/>
      <c r="U488" s="306"/>
      <c r="V488" s="240"/>
      <c r="W488" s="240"/>
      <c r="X488" s="240"/>
      <c r="Y488" s="240"/>
      <c r="Z488" s="308"/>
      <c r="AA488" s="308"/>
      <c r="AB488" s="241"/>
      <c r="AC488" s="242"/>
      <c r="AD488" s="259"/>
      <c r="AE488" s="308"/>
      <c r="AF488" s="308"/>
      <c r="AG488" s="240"/>
      <c r="AH488" s="240"/>
      <c r="AI488" s="240"/>
      <c r="AJ488" s="240"/>
      <c r="AK488" s="308"/>
      <c r="AL488" s="244"/>
      <c r="AM488" s="236"/>
      <c r="AN488" s="378"/>
    </row>
    <row r="489" spans="1:40" s="506" customFormat="1" ht="19.5" customHeight="1">
      <c r="A489" s="263"/>
      <c r="B489" s="478" t="s">
        <v>310</v>
      </c>
      <c r="C489" s="502" t="s">
        <v>1624</v>
      </c>
      <c r="D489" s="502"/>
      <c r="E489" s="503" t="s">
        <v>309</v>
      </c>
      <c r="F489" s="504">
        <v>1000</v>
      </c>
      <c r="G489" s="504">
        <v>913.9</v>
      </c>
      <c r="H489" s="504">
        <v>913.9</v>
      </c>
      <c r="I489" s="240">
        <v>1000</v>
      </c>
      <c r="J489" s="240">
        <v>500</v>
      </c>
      <c r="K489" s="240">
        <v>1000</v>
      </c>
      <c r="L489" s="240"/>
      <c r="M489" s="240"/>
      <c r="N489" s="239">
        <f t="shared" si="256"/>
        <v>913.96</v>
      </c>
      <c r="O489" s="239"/>
      <c r="P489" s="239">
        <f t="shared" si="257"/>
        <v>913.96</v>
      </c>
      <c r="Q489" s="505">
        <v>913.96</v>
      </c>
      <c r="R489" s="307"/>
      <c r="S489" s="307"/>
      <c r="T489" s="307"/>
      <c r="U489" s="306"/>
      <c r="V489" s="240"/>
      <c r="W489" s="240"/>
      <c r="X489" s="240"/>
      <c r="Y489" s="240"/>
      <c r="Z489" s="308"/>
      <c r="AA489" s="308"/>
      <c r="AB489" s="241"/>
      <c r="AC489" s="242"/>
      <c r="AD489" s="259"/>
      <c r="AE489" s="308"/>
      <c r="AF489" s="308"/>
      <c r="AG489" s="240"/>
      <c r="AH489" s="240"/>
      <c r="AI489" s="240"/>
      <c r="AJ489" s="240"/>
      <c r="AK489" s="308"/>
      <c r="AL489" s="244"/>
      <c r="AM489" s="236"/>
      <c r="AN489" s="378"/>
    </row>
    <row r="490" spans="1:40" s="506" customFormat="1" ht="28.5" customHeight="1">
      <c r="A490" s="263"/>
      <c r="B490" s="478" t="s">
        <v>311</v>
      </c>
      <c r="C490" s="502" t="s">
        <v>1624</v>
      </c>
      <c r="D490" s="502"/>
      <c r="E490" s="503" t="s">
        <v>309</v>
      </c>
      <c r="F490" s="504">
        <v>1000</v>
      </c>
      <c r="G490" s="504">
        <v>870</v>
      </c>
      <c r="H490" s="504">
        <v>870</v>
      </c>
      <c r="I490" s="240">
        <v>1000</v>
      </c>
      <c r="J490" s="240">
        <v>500</v>
      </c>
      <c r="K490" s="240">
        <v>1000</v>
      </c>
      <c r="L490" s="240"/>
      <c r="M490" s="240"/>
      <c r="N490" s="239">
        <f t="shared" si="256"/>
        <v>870.17</v>
      </c>
      <c r="O490" s="239"/>
      <c r="P490" s="239">
        <f t="shared" si="257"/>
        <v>870.17</v>
      </c>
      <c r="Q490" s="505">
        <v>870.17</v>
      </c>
      <c r="R490" s="307"/>
      <c r="S490" s="307"/>
      <c r="T490" s="307"/>
      <c r="U490" s="306"/>
      <c r="V490" s="240"/>
      <c r="W490" s="240"/>
      <c r="X490" s="240"/>
      <c r="Y490" s="240"/>
      <c r="Z490" s="308"/>
      <c r="AA490" s="308"/>
      <c r="AB490" s="241"/>
      <c r="AC490" s="242"/>
      <c r="AD490" s="259"/>
      <c r="AE490" s="308"/>
      <c r="AF490" s="308"/>
      <c r="AG490" s="240"/>
      <c r="AH490" s="240"/>
      <c r="AI490" s="240"/>
      <c r="AJ490" s="240"/>
      <c r="AK490" s="308"/>
      <c r="AL490" s="244"/>
      <c r="AM490" s="236"/>
      <c r="AN490" s="378"/>
    </row>
    <row r="491" spans="1:40" s="506" customFormat="1" ht="19.5" customHeight="1">
      <c r="A491" s="263"/>
      <c r="B491" s="478" t="s">
        <v>312</v>
      </c>
      <c r="C491" s="502" t="s">
        <v>1624</v>
      </c>
      <c r="D491" s="502"/>
      <c r="E491" s="503"/>
      <c r="F491" s="504"/>
      <c r="G491" s="504"/>
      <c r="H491" s="504"/>
      <c r="I491" s="240">
        <v>2</v>
      </c>
      <c r="J491" s="240"/>
      <c r="K491" s="240">
        <v>2</v>
      </c>
      <c r="L491" s="240"/>
      <c r="M491" s="240"/>
      <c r="N491" s="239">
        <f t="shared" si="256"/>
        <v>2</v>
      </c>
      <c r="O491" s="239"/>
      <c r="P491" s="239">
        <f t="shared" si="257"/>
        <v>2</v>
      </c>
      <c r="Q491" s="505">
        <v>2</v>
      </c>
      <c r="R491" s="307"/>
      <c r="S491" s="307"/>
      <c r="T491" s="307"/>
      <c r="U491" s="306"/>
      <c r="V491" s="240"/>
      <c r="W491" s="240"/>
      <c r="X491" s="240"/>
      <c r="Y491" s="240"/>
      <c r="Z491" s="308"/>
      <c r="AA491" s="308"/>
      <c r="AB491" s="241"/>
      <c r="AC491" s="242"/>
      <c r="AD491" s="259"/>
      <c r="AE491" s="308"/>
      <c r="AF491" s="308"/>
      <c r="AG491" s="240"/>
      <c r="AH491" s="240"/>
      <c r="AI491" s="240"/>
      <c r="AJ491" s="240"/>
      <c r="AK491" s="308"/>
      <c r="AL491" s="244"/>
      <c r="AM491" s="236"/>
      <c r="AN491" s="378"/>
    </row>
    <row r="492" spans="1:40" s="506" customFormat="1" ht="19.5" customHeight="1">
      <c r="A492" s="263"/>
      <c r="B492" s="478" t="s">
        <v>313</v>
      </c>
      <c r="C492" s="502" t="s">
        <v>1624</v>
      </c>
      <c r="D492" s="502"/>
      <c r="E492" s="503"/>
      <c r="F492" s="504"/>
      <c r="G492" s="504"/>
      <c r="H492" s="504"/>
      <c r="I492" s="240">
        <v>9</v>
      </c>
      <c r="J492" s="240"/>
      <c r="K492" s="240">
        <v>9</v>
      </c>
      <c r="L492" s="240"/>
      <c r="M492" s="240"/>
      <c r="N492" s="239">
        <f t="shared" si="256"/>
        <v>8.858</v>
      </c>
      <c r="O492" s="239"/>
      <c r="P492" s="239">
        <f t="shared" si="257"/>
        <v>8.858</v>
      </c>
      <c r="Q492" s="505">
        <v>8.858</v>
      </c>
      <c r="R492" s="307"/>
      <c r="S492" s="307"/>
      <c r="T492" s="307"/>
      <c r="U492" s="306"/>
      <c r="V492" s="240"/>
      <c r="W492" s="240"/>
      <c r="X492" s="240"/>
      <c r="Y492" s="240"/>
      <c r="Z492" s="308"/>
      <c r="AA492" s="308"/>
      <c r="AB492" s="241"/>
      <c r="AC492" s="242"/>
      <c r="AD492" s="259"/>
      <c r="AE492" s="308"/>
      <c r="AF492" s="308"/>
      <c r="AG492" s="240"/>
      <c r="AH492" s="240"/>
      <c r="AI492" s="240"/>
      <c r="AJ492" s="240"/>
      <c r="AK492" s="308"/>
      <c r="AL492" s="244"/>
      <c r="AM492" s="236"/>
      <c r="AN492" s="378"/>
    </row>
    <row r="493" spans="1:40" s="506" customFormat="1" ht="19.5" customHeight="1">
      <c r="A493" s="263"/>
      <c r="B493" s="478" t="s">
        <v>307</v>
      </c>
      <c r="C493" s="502"/>
      <c r="D493" s="502"/>
      <c r="E493" s="503"/>
      <c r="F493" s="504"/>
      <c r="G493" s="504"/>
      <c r="H493" s="504"/>
      <c r="I493" s="240"/>
      <c r="J493" s="240"/>
      <c r="K493" s="240"/>
      <c r="L493" s="240"/>
      <c r="M493" s="240"/>
      <c r="N493" s="239">
        <f t="shared" si="256"/>
        <v>-15.33</v>
      </c>
      <c r="O493" s="239"/>
      <c r="P493" s="239">
        <f t="shared" si="257"/>
        <v>-15.33</v>
      </c>
      <c r="Q493" s="505">
        <v>-15.33</v>
      </c>
      <c r="R493" s="307"/>
      <c r="S493" s="307"/>
      <c r="T493" s="307"/>
      <c r="U493" s="306"/>
      <c r="V493" s="240"/>
      <c r="W493" s="240"/>
      <c r="X493" s="240"/>
      <c r="Y493" s="240"/>
      <c r="Z493" s="308"/>
      <c r="AA493" s="308"/>
      <c r="AB493" s="241"/>
      <c r="AC493" s="242"/>
      <c r="AD493" s="259"/>
      <c r="AE493" s="308"/>
      <c r="AF493" s="308"/>
      <c r="AG493" s="240"/>
      <c r="AH493" s="240"/>
      <c r="AI493" s="240"/>
      <c r="AJ493" s="240"/>
      <c r="AK493" s="308"/>
      <c r="AL493" s="244"/>
      <c r="AM493" s="236"/>
      <c r="AN493" s="378"/>
    </row>
    <row r="494" spans="1:40" s="506" customFormat="1" ht="19.5" customHeight="1">
      <c r="A494" s="263"/>
      <c r="B494" s="478" t="s">
        <v>314</v>
      </c>
      <c r="C494" s="502" t="s">
        <v>1634</v>
      </c>
      <c r="D494" s="502"/>
      <c r="E494" s="503"/>
      <c r="F494" s="504">
        <v>1286</v>
      </c>
      <c r="G494" s="504"/>
      <c r="H494" s="504"/>
      <c r="I494" s="240">
        <v>760</v>
      </c>
      <c r="J494" s="240"/>
      <c r="K494" s="240">
        <v>760</v>
      </c>
      <c r="L494" s="240"/>
      <c r="M494" s="240"/>
      <c r="N494" s="239">
        <f t="shared" si="256"/>
        <v>685.293</v>
      </c>
      <c r="O494" s="239"/>
      <c r="P494" s="239">
        <f t="shared" si="257"/>
        <v>685.293</v>
      </c>
      <c r="Q494" s="505">
        <v>685.293</v>
      </c>
      <c r="R494" s="307"/>
      <c r="S494" s="307"/>
      <c r="T494" s="307"/>
      <c r="U494" s="306"/>
      <c r="V494" s="240"/>
      <c r="W494" s="240"/>
      <c r="X494" s="240"/>
      <c r="Y494" s="240"/>
      <c r="Z494" s="308"/>
      <c r="AA494" s="308"/>
      <c r="AB494" s="241"/>
      <c r="AC494" s="242"/>
      <c r="AD494" s="259"/>
      <c r="AE494" s="308"/>
      <c r="AF494" s="308"/>
      <c r="AG494" s="240"/>
      <c r="AH494" s="240"/>
      <c r="AI494" s="240"/>
      <c r="AJ494" s="240"/>
      <c r="AK494" s="308"/>
      <c r="AL494" s="244"/>
      <c r="AM494" s="236"/>
      <c r="AN494" s="378"/>
    </row>
    <row r="495" spans="1:40" s="506" customFormat="1" ht="19.5" customHeight="1">
      <c r="A495" s="263"/>
      <c r="B495" s="478" t="s">
        <v>315</v>
      </c>
      <c r="C495" s="502" t="s">
        <v>1634</v>
      </c>
      <c r="D495" s="502"/>
      <c r="E495" s="503"/>
      <c r="F495" s="504">
        <v>1200</v>
      </c>
      <c r="G495" s="504"/>
      <c r="H495" s="504"/>
      <c r="I495" s="240">
        <v>797</v>
      </c>
      <c r="J495" s="240"/>
      <c r="K495" s="240">
        <v>797</v>
      </c>
      <c r="L495" s="240"/>
      <c r="M495" s="240"/>
      <c r="N495" s="239">
        <f t="shared" si="256"/>
        <v>429.279</v>
      </c>
      <c r="O495" s="239"/>
      <c r="P495" s="239">
        <f t="shared" si="257"/>
        <v>429.279</v>
      </c>
      <c r="Q495" s="505">
        <v>429.279</v>
      </c>
      <c r="R495" s="307"/>
      <c r="S495" s="307"/>
      <c r="T495" s="307"/>
      <c r="U495" s="306"/>
      <c r="V495" s="240"/>
      <c r="W495" s="240"/>
      <c r="X495" s="240"/>
      <c r="Y495" s="240"/>
      <c r="Z495" s="308"/>
      <c r="AA495" s="308"/>
      <c r="AB495" s="241"/>
      <c r="AC495" s="242"/>
      <c r="AD495" s="259"/>
      <c r="AE495" s="308"/>
      <c r="AF495" s="308"/>
      <c r="AG495" s="240"/>
      <c r="AH495" s="240"/>
      <c r="AI495" s="240"/>
      <c r="AJ495" s="240"/>
      <c r="AK495" s="308"/>
      <c r="AL495" s="244"/>
      <c r="AM495" s="236"/>
      <c r="AN495" s="378"/>
    </row>
    <row r="496" spans="1:40" s="506" customFormat="1" ht="19.5" customHeight="1">
      <c r="A496" s="263"/>
      <c r="B496" s="478" t="s">
        <v>316</v>
      </c>
      <c r="C496" s="502" t="s">
        <v>1634</v>
      </c>
      <c r="D496" s="502"/>
      <c r="E496" s="503"/>
      <c r="F496" s="504">
        <v>1300</v>
      </c>
      <c r="G496" s="504"/>
      <c r="H496" s="504"/>
      <c r="I496" s="240">
        <v>800</v>
      </c>
      <c r="J496" s="240"/>
      <c r="K496" s="240">
        <v>800</v>
      </c>
      <c r="L496" s="240"/>
      <c r="M496" s="240"/>
      <c r="N496" s="239">
        <f t="shared" si="256"/>
        <v>35.672</v>
      </c>
      <c r="O496" s="239"/>
      <c r="P496" s="239">
        <f t="shared" si="257"/>
        <v>35.672</v>
      </c>
      <c r="Q496" s="505">
        <v>35.672</v>
      </c>
      <c r="R496" s="307"/>
      <c r="S496" s="307"/>
      <c r="T496" s="307"/>
      <c r="U496" s="306"/>
      <c r="V496" s="240"/>
      <c r="W496" s="240"/>
      <c r="X496" s="240"/>
      <c r="Y496" s="240"/>
      <c r="Z496" s="308"/>
      <c r="AA496" s="308"/>
      <c r="AB496" s="241"/>
      <c r="AC496" s="242"/>
      <c r="AD496" s="259"/>
      <c r="AE496" s="308"/>
      <c r="AF496" s="308"/>
      <c r="AG496" s="240"/>
      <c r="AH496" s="240"/>
      <c r="AI496" s="240"/>
      <c r="AJ496" s="240"/>
      <c r="AK496" s="308"/>
      <c r="AL496" s="244"/>
      <c r="AM496" s="236"/>
      <c r="AN496" s="378"/>
    </row>
    <row r="497" spans="1:40" s="506" customFormat="1" ht="19.5" customHeight="1">
      <c r="A497" s="263"/>
      <c r="B497" s="478" t="s">
        <v>317</v>
      </c>
      <c r="C497" s="502" t="s">
        <v>1634</v>
      </c>
      <c r="D497" s="502"/>
      <c r="E497" s="503"/>
      <c r="F497" s="504">
        <v>1300</v>
      </c>
      <c r="G497" s="504"/>
      <c r="H497" s="504"/>
      <c r="I497" s="240">
        <v>800</v>
      </c>
      <c r="J497" s="240"/>
      <c r="K497" s="240">
        <v>800</v>
      </c>
      <c r="L497" s="240"/>
      <c r="M497" s="240"/>
      <c r="N497" s="239">
        <f t="shared" si="256"/>
        <v>28.093</v>
      </c>
      <c r="O497" s="239"/>
      <c r="P497" s="239">
        <f t="shared" si="257"/>
        <v>28.093</v>
      </c>
      <c r="Q497" s="505">
        <v>28.093</v>
      </c>
      <c r="R497" s="307"/>
      <c r="S497" s="307"/>
      <c r="T497" s="307"/>
      <c r="U497" s="306"/>
      <c r="V497" s="240"/>
      <c r="W497" s="240"/>
      <c r="X497" s="240"/>
      <c r="Y497" s="240"/>
      <c r="Z497" s="308"/>
      <c r="AA497" s="308"/>
      <c r="AB497" s="241"/>
      <c r="AC497" s="242"/>
      <c r="AD497" s="259"/>
      <c r="AE497" s="308"/>
      <c r="AF497" s="308"/>
      <c r="AG497" s="240"/>
      <c r="AH497" s="240"/>
      <c r="AI497" s="240"/>
      <c r="AJ497" s="240"/>
      <c r="AK497" s="308"/>
      <c r="AL497" s="244"/>
      <c r="AM497" s="236"/>
      <c r="AN497" s="378"/>
    </row>
    <row r="498" spans="1:40" s="506" customFormat="1" ht="19.5" customHeight="1">
      <c r="A498" s="263"/>
      <c r="B498" s="478" t="s">
        <v>318</v>
      </c>
      <c r="C498" s="502" t="s">
        <v>1058</v>
      </c>
      <c r="D498" s="502"/>
      <c r="E498" s="503"/>
      <c r="F498" s="504"/>
      <c r="G498" s="504"/>
      <c r="H498" s="504"/>
      <c r="I498" s="240">
        <v>4099</v>
      </c>
      <c r="J498" s="240">
        <v>2000</v>
      </c>
      <c r="K498" s="240">
        <v>4099</v>
      </c>
      <c r="L498" s="240"/>
      <c r="M498" s="240"/>
      <c r="N498" s="239">
        <f t="shared" si="256"/>
        <v>3819.727</v>
      </c>
      <c r="O498" s="239">
        <v>2000</v>
      </c>
      <c r="P498" s="239">
        <f t="shared" si="257"/>
        <v>3819.727</v>
      </c>
      <c r="Q498" s="505">
        <v>1819.727</v>
      </c>
      <c r="R498" s="239">
        <v>2000</v>
      </c>
      <c r="S498" s="307"/>
      <c r="T498" s="307"/>
      <c r="U498" s="306"/>
      <c r="V498" s="240"/>
      <c r="W498" s="240"/>
      <c r="X498" s="240"/>
      <c r="Y498" s="240"/>
      <c r="Z498" s="308"/>
      <c r="AA498" s="308"/>
      <c r="AB498" s="241"/>
      <c r="AC498" s="242"/>
      <c r="AD498" s="259"/>
      <c r="AE498" s="308"/>
      <c r="AF498" s="308"/>
      <c r="AG498" s="240"/>
      <c r="AH498" s="240"/>
      <c r="AI498" s="240"/>
      <c r="AJ498" s="240"/>
      <c r="AK498" s="308"/>
      <c r="AL498" s="244"/>
      <c r="AM498" s="236"/>
      <c r="AN498" s="378"/>
    </row>
    <row r="499" spans="1:40" s="506" customFormat="1" ht="19.5" customHeight="1">
      <c r="A499" s="263"/>
      <c r="B499" s="478" t="s">
        <v>319</v>
      </c>
      <c r="C499" s="502" t="s">
        <v>1058</v>
      </c>
      <c r="D499" s="502"/>
      <c r="E499" s="503"/>
      <c r="F499" s="504"/>
      <c r="G499" s="504"/>
      <c r="H499" s="504"/>
      <c r="I499" s="240">
        <v>4103</v>
      </c>
      <c r="J499" s="240">
        <v>2000</v>
      </c>
      <c r="K499" s="240">
        <v>4103</v>
      </c>
      <c r="L499" s="240"/>
      <c r="M499" s="240"/>
      <c r="N499" s="239">
        <f t="shared" si="256"/>
        <v>3763.212</v>
      </c>
      <c r="O499" s="239">
        <v>2000</v>
      </c>
      <c r="P499" s="239">
        <f t="shared" si="257"/>
        <v>3763.212</v>
      </c>
      <c r="Q499" s="505">
        <v>1763.212</v>
      </c>
      <c r="R499" s="239">
        <v>2000</v>
      </c>
      <c r="S499" s="307"/>
      <c r="T499" s="307"/>
      <c r="U499" s="306"/>
      <c r="V499" s="240"/>
      <c r="W499" s="240"/>
      <c r="X499" s="240"/>
      <c r="Y499" s="240"/>
      <c r="Z499" s="308"/>
      <c r="AA499" s="308"/>
      <c r="AB499" s="241"/>
      <c r="AC499" s="242"/>
      <c r="AD499" s="259"/>
      <c r="AE499" s="308"/>
      <c r="AF499" s="308"/>
      <c r="AG499" s="240"/>
      <c r="AH499" s="240"/>
      <c r="AI499" s="240"/>
      <c r="AJ499" s="240"/>
      <c r="AK499" s="308"/>
      <c r="AL499" s="244"/>
      <c r="AM499" s="236"/>
      <c r="AN499" s="378"/>
    </row>
    <row r="500" spans="1:148" s="501" customFormat="1" ht="19.5" customHeight="1">
      <c r="A500" s="216">
        <v>22</v>
      </c>
      <c r="B500" s="217" t="s">
        <v>320</v>
      </c>
      <c r="C500" s="218"/>
      <c r="D500" s="456"/>
      <c r="E500" s="219"/>
      <c r="F500" s="221"/>
      <c r="G500" s="221"/>
      <c r="H500" s="221"/>
      <c r="I500" s="222">
        <f aca="true" t="shared" si="258" ref="I500:U500">SUM(I501:I519)</f>
        <v>46582.6736</v>
      </c>
      <c r="J500" s="222">
        <f t="shared" si="258"/>
        <v>3024.2025999999996</v>
      </c>
      <c r="K500" s="222">
        <f t="shared" si="258"/>
        <v>46582.6806</v>
      </c>
      <c r="L500" s="222">
        <f t="shared" si="258"/>
        <v>0</v>
      </c>
      <c r="M500" s="222">
        <f t="shared" si="258"/>
        <v>0</v>
      </c>
      <c r="N500" s="222">
        <f t="shared" si="258"/>
        <v>34933.0396</v>
      </c>
      <c r="O500" s="222">
        <f t="shared" si="258"/>
        <v>1373.5706</v>
      </c>
      <c r="P500" s="222">
        <f t="shared" si="258"/>
        <v>34933.0396</v>
      </c>
      <c r="Q500" s="222">
        <f t="shared" si="258"/>
        <v>33655.9891</v>
      </c>
      <c r="R500" s="222">
        <f t="shared" si="258"/>
        <v>1373.5706</v>
      </c>
      <c r="S500" s="222">
        <f t="shared" si="258"/>
        <v>0</v>
      </c>
      <c r="T500" s="222">
        <f t="shared" si="258"/>
        <v>0</v>
      </c>
      <c r="U500" s="222">
        <f t="shared" si="258"/>
        <v>0</v>
      </c>
      <c r="V500" s="223">
        <f>SUM(V501)</f>
        <v>0</v>
      </c>
      <c r="W500" s="223">
        <f>SUM(W501)</f>
        <v>0</v>
      </c>
      <c r="X500" s="223">
        <f>SUM(X501)</f>
        <v>0</v>
      </c>
      <c r="Y500" s="223">
        <f>SUM(Y501)</f>
        <v>0</v>
      </c>
      <c r="Z500" s="223">
        <f aca="true" t="shared" si="259" ref="Z500:AM500">SUM(Z501)</f>
        <v>0</v>
      </c>
      <c r="AA500" s="223">
        <f t="shared" si="259"/>
        <v>0</v>
      </c>
      <c r="AB500" s="223">
        <f t="shared" si="259"/>
        <v>0</v>
      </c>
      <c r="AC500" s="223">
        <f t="shared" si="259"/>
        <v>0</v>
      </c>
      <c r="AD500" s="223">
        <f t="shared" si="259"/>
        <v>0</v>
      </c>
      <c r="AE500" s="223">
        <f t="shared" si="259"/>
        <v>0</v>
      </c>
      <c r="AF500" s="223">
        <f t="shared" si="259"/>
        <v>0</v>
      </c>
      <c r="AG500" s="223">
        <f t="shared" si="259"/>
        <v>0</v>
      </c>
      <c r="AH500" s="223">
        <f t="shared" si="259"/>
        <v>0</v>
      </c>
      <c r="AI500" s="223">
        <f t="shared" si="259"/>
        <v>0</v>
      </c>
      <c r="AJ500" s="223">
        <f t="shared" si="259"/>
        <v>0</v>
      </c>
      <c r="AK500" s="223">
        <f t="shared" si="259"/>
        <v>0</v>
      </c>
      <c r="AL500" s="223">
        <f t="shared" si="259"/>
        <v>0</v>
      </c>
      <c r="AM500" s="223">
        <f t="shared" si="259"/>
        <v>0</v>
      </c>
      <c r="AN500" s="196"/>
      <c r="AO500" s="196"/>
      <c r="AP500" s="196"/>
      <c r="AQ500" s="196"/>
      <c r="AR500" s="196"/>
      <c r="AS500" s="196"/>
      <c r="AT500" s="196"/>
      <c r="AU500" s="196"/>
      <c r="AV500" s="196"/>
      <c r="AW500" s="196"/>
      <c r="AX500" s="196"/>
      <c r="AY500" s="196"/>
      <c r="AZ500" s="196"/>
      <c r="BA500" s="196"/>
      <c r="BB500" s="196"/>
      <c r="BC500" s="196"/>
      <c r="BD500" s="196"/>
      <c r="BE500" s="196"/>
      <c r="BF500" s="196"/>
      <c r="BG500" s="196"/>
      <c r="BH500" s="196"/>
      <c r="BI500" s="196"/>
      <c r="BJ500" s="196"/>
      <c r="BK500" s="196"/>
      <c r="BL500" s="196"/>
      <c r="BM500" s="196"/>
      <c r="BN500" s="196"/>
      <c r="BO500" s="196"/>
      <c r="BP500" s="196"/>
      <c r="BQ500" s="196"/>
      <c r="BR500" s="196"/>
      <c r="BS500" s="196"/>
      <c r="BT500" s="196"/>
      <c r="BU500" s="196"/>
      <c r="BV500" s="196"/>
      <c r="BW500" s="196"/>
      <c r="BX500" s="196"/>
      <c r="BY500" s="196"/>
      <c r="BZ500" s="196"/>
      <c r="CA500" s="196"/>
      <c r="CB500" s="196"/>
      <c r="CC500" s="196"/>
      <c r="CD500" s="196"/>
      <c r="CE500" s="196"/>
      <c r="CF500" s="196"/>
      <c r="CG500" s="196"/>
      <c r="CH500" s="196"/>
      <c r="CI500" s="196"/>
      <c r="CJ500" s="196"/>
      <c r="CK500" s="196"/>
      <c r="CL500" s="196"/>
      <c r="CM500" s="196"/>
      <c r="CN500" s="196"/>
      <c r="CO500" s="196"/>
      <c r="CP500" s="196"/>
      <c r="CQ500" s="196"/>
      <c r="CR500" s="196"/>
      <c r="CS500" s="196"/>
      <c r="CT500" s="196"/>
      <c r="CU500" s="196"/>
      <c r="CV500" s="196"/>
      <c r="CW500" s="196"/>
      <c r="CX500" s="196"/>
      <c r="CY500" s="196"/>
      <c r="CZ500" s="196"/>
      <c r="DA500" s="196"/>
      <c r="DB500" s="196"/>
      <c r="DC500" s="196"/>
      <c r="DD500" s="196"/>
      <c r="DE500" s="196"/>
      <c r="DF500" s="196"/>
      <c r="DG500" s="196"/>
      <c r="DH500" s="196"/>
      <c r="DI500" s="196"/>
      <c r="DJ500" s="196"/>
      <c r="DK500" s="196"/>
      <c r="DL500" s="196"/>
      <c r="DM500" s="196"/>
      <c r="DN500" s="196"/>
      <c r="DO500" s="196"/>
      <c r="DP500" s="196"/>
      <c r="DQ500" s="196"/>
      <c r="DR500" s="196"/>
      <c r="DS500" s="196"/>
      <c r="DT500" s="196"/>
      <c r="DU500" s="196"/>
      <c r="DV500" s="196"/>
      <c r="DW500" s="196"/>
      <c r="DX500" s="196"/>
      <c r="DY500" s="196"/>
      <c r="DZ500" s="196"/>
      <c r="EA500" s="196"/>
      <c r="EB500" s="196"/>
      <c r="EC500" s="196"/>
      <c r="ED500" s="196"/>
      <c r="EE500" s="196"/>
      <c r="EF500" s="196"/>
      <c r="EG500" s="196"/>
      <c r="EH500" s="196"/>
      <c r="EI500" s="196"/>
      <c r="EJ500" s="196"/>
      <c r="EK500" s="196"/>
      <c r="EL500" s="196"/>
      <c r="EM500" s="196"/>
      <c r="EN500" s="196"/>
      <c r="EO500" s="196"/>
      <c r="EP500" s="196"/>
      <c r="EQ500" s="196"/>
      <c r="ER500" s="196"/>
    </row>
    <row r="501" spans="1:40" s="506" customFormat="1" ht="19.5" customHeight="1">
      <c r="A501" s="263"/>
      <c r="B501" s="478" t="s">
        <v>321</v>
      </c>
      <c r="C501" s="502" t="s">
        <v>1414</v>
      </c>
      <c r="D501" s="502"/>
      <c r="E501" s="503"/>
      <c r="F501" s="504">
        <v>10934</v>
      </c>
      <c r="G501" s="504">
        <v>7741.2763</v>
      </c>
      <c r="H501" s="504">
        <v>7741.2763</v>
      </c>
      <c r="I501" s="237">
        <v>3107</v>
      </c>
      <c r="J501" s="237"/>
      <c r="K501" s="237">
        <v>3107</v>
      </c>
      <c r="L501" s="237"/>
      <c r="M501" s="237"/>
      <c r="N501" s="239">
        <f>SUM(P501,U501)</f>
        <v>3106.046</v>
      </c>
      <c r="O501" s="239"/>
      <c r="P501" s="239">
        <f>SUM(Q501:S501)</f>
        <v>3106.046</v>
      </c>
      <c r="Q501" s="505">
        <v>3106.046</v>
      </c>
      <c r="R501" s="307"/>
      <c r="S501" s="307"/>
      <c r="T501" s="307"/>
      <c r="U501" s="306"/>
      <c r="V501" s="240"/>
      <c r="W501" s="240"/>
      <c r="X501" s="240"/>
      <c r="Y501" s="240"/>
      <c r="Z501" s="308"/>
      <c r="AA501" s="308"/>
      <c r="AB501" s="241"/>
      <c r="AC501" s="242"/>
      <c r="AD501" s="259"/>
      <c r="AE501" s="308"/>
      <c r="AF501" s="308"/>
      <c r="AG501" s="240"/>
      <c r="AH501" s="240"/>
      <c r="AI501" s="240"/>
      <c r="AJ501" s="240"/>
      <c r="AK501" s="308"/>
      <c r="AL501" s="244"/>
      <c r="AM501" s="236"/>
      <c r="AN501" s="378"/>
    </row>
    <row r="502" spans="1:40" s="506" customFormat="1" ht="19.5" customHeight="1">
      <c r="A502" s="263"/>
      <c r="B502" s="478" t="s">
        <v>322</v>
      </c>
      <c r="C502" s="502" t="s">
        <v>1414</v>
      </c>
      <c r="D502" s="502"/>
      <c r="E502" s="503"/>
      <c r="F502" s="504">
        <v>1230</v>
      </c>
      <c r="G502" s="504">
        <v>1051.818</v>
      </c>
      <c r="H502" s="504">
        <v>1051.818</v>
      </c>
      <c r="I502" s="237">
        <v>25.7706</v>
      </c>
      <c r="J502" s="237">
        <v>25.7706</v>
      </c>
      <c r="K502" s="237">
        <v>25.7706</v>
      </c>
      <c r="L502" s="237"/>
      <c r="M502" s="237"/>
      <c r="N502" s="239">
        <f aca="true" t="shared" si="260" ref="N502:N519">SUM(P502,U502)</f>
        <v>25.7706</v>
      </c>
      <c r="O502" s="239">
        <v>25.7706</v>
      </c>
      <c r="P502" s="239">
        <f aca="true" t="shared" si="261" ref="P502:P525">SUM(Q502:S502)</f>
        <v>25.7706</v>
      </c>
      <c r="Q502" s="505"/>
      <c r="R502" s="239">
        <v>25.7706</v>
      </c>
      <c r="S502" s="307"/>
      <c r="T502" s="307"/>
      <c r="U502" s="306"/>
      <c r="V502" s="240"/>
      <c r="W502" s="240"/>
      <c r="X502" s="240"/>
      <c r="Y502" s="240"/>
      <c r="Z502" s="308"/>
      <c r="AA502" s="308"/>
      <c r="AB502" s="241"/>
      <c r="AC502" s="242"/>
      <c r="AD502" s="259"/>
      <c r="AE502" s="308"/>
      <c r="AF502" s="308"/>
      <c r="AG502" s="240"/>
      <c r="AH502" s="240"/>
      <c r="AI502" s="240"/>
      <c r="AJ502" s="240"/>
      <c r="AK502" s="308"/>
      <c r="AL502" s="244"/>
      <c r="AM502" s="236"/>
      <c r="AN502" s="378"/>
    </row>
    <row r="503" spans="1:40" s="506" customFormat="1" ht="19.5" customHeight="1">
      <c r="A503" s="263"/>
      <c r="B503" s="478" t="s">
        <v>323</v>
      </c>
      <c r="C503" s="502" t="s">
        <v>1414</v>
      </c>
      <c r="D503" s="502"/>
      <c r="E503" s="503"/>
      <c r="F503" s="504">
        <v>808</v>
      </c>
      <c r="G503" s="504">
        <v>680.297</v>
      </c>
      <c r="H503" s="504">
        <v>450.99800000000005</v>
      </c>
      <c r="I503" s="237">
        <v>357</v>
      </c>
      <c r="J503" s="237"/>
      <c r="K503" s="237">
        <v>357</v>
      </c>
      <c r="L503" s="237"/>
      <c r="M503" s="237"/>
      <c r="N503" s="239">
        <f t="shared" si="260"/>
        <v>229.299</v>
      </c>
      <c r="O503" s="239"/>
      <c r="P503" s="239">
        <f t="shared" si="261"/>
        <v>229.299</v>
      </c>
      <c r="Q503" s="505">
        <v>229.299</v>
      </c>
      <c r="R503" s="307"/>
      <c r="S503" s="307"/>
      <c r="T503" s="307"/>
      <c r="U503" s="306"/>
      <c r="V503" s="240"/>
      <c r="W503" s="240"/>
      <c r="X503" s="240"/>
      <c r="Y503" s="240"/>
      <c r="Z503" s="308"/>
      <c r="AA503" s="308"/>
      <c r="AB503" s="241"/>
      <c r="AC503" s="242"/>
      <c r="AD503" s="259"/>
      <c r="AE503" s="308"/>
      <c r="AF503" s="308"/>
      <c r="AG503" s="240"/>
      <c r="AH503" s="240"/>
      <c r="AI503" s="240"/>
      <c r="AJ503" s="240"/>
      <c r="AK503" s="308"/>
      <c r="AL503" s="244"/>
      <c r="AM503" s="236"/>
      <c r="AN503" s="378"/>
    </row>
    <row r="504" spans="1:40" s="506" customFormat="1" ht="19.5" customHeight="1">
      <c r="A504" s="263"/>
      <c r="B504" s="478" t="s">
        <v>324</v>
      </c>
      <c r="C504" s="502" t="s">
        <v>1414</v>
      </c>
      <c r="D504" s="502"/>
      <c r="E504" s="503"/>
      <c r="F504" s="504">
        <v>1600</v>
      </c>
      <c r="G504" s="504">
        <v>1544.162</v>
      </c>
      <c r="H504" s="504">
        <v>864.212</v>
      </c>
      <c r="I504" s="237">
        <v>736</v>
      </c>
      <c r="J504" s="237"/>
      <c r="K504" s="237">
        <v>736</v>
      </c>
      <c r="L504" s="237"/>
      <c r="M504" s="237"/>
      <c r="N504" s="239">
        <f t="shared" si="260"/>
        <v>679.95</v>
      </c>
      <c r="O504" s="239"/>
      <c r="P504" s="239">
        <f t="shared" si="261"/>
        <v>679.95</v>
      </c>
      <c r="Q504" s="505">
        <v>679.95</v>
      </c>
      <c r="R504" s="307"/>
      <c r="S504" s="307"/>
      <c r="T504" s="307"/>
      <c r="U504" s="306"/>
      <c r="V504" s="240"/>
      <c r="W504" s="240"/>
      <c r="X504" s="240"/>
      <c r="Y504" s="240"/>
      <c r="Z504" s="308"/>
      <c r="AA504" s="308"/>
      <c r="AB504" s="241"/>
      <c r="AC504" s="242"/>
      <c r="AD504" s="259"/>
      <c r="AE504" s="308"/>
      <c r="AF504" s="308"/>
      <c r="AG504" s="240"/>
      <c r="AH504" s="240"/>
      <c r="AI504" s="240"/>
      <c r="AJ504" s="240"/>
      <c r="AK504" s="308"/>
      <c r="AL504" s="244"/>
      <c r="AM504" s="236"/>
      <c r="AN504" s="378"/>
    </row>
    <row r="505" spans="1:40" s="506" customFormat="1" ht="19.5" customHeight="1">
      <c r="A505" s="263"/>
      <c r="B505" s="478" t="s">
        <v>325</v>
      </c>
      <c r="C505" s="502" t="s">
        <v>1414</v>
      </c>
      <c r="D505" s="502"/>
      <c r="E505" s="503"/>
      <c r="F505" s="504">
        <v>840</v>
      </c>
      <c r="G505" s="504">
        <v>782.931</v>
      </c>
      <c r="H505" s="504">
        <v>761.494</v>
      </c>
      <c r="I505" s="237">
        <v>21.437</v>
      </c>
      <c r="J505" s="237"/>
      <c r="K505" s="237">
        <v>21.437</v>
      </c>
      <c r="L505" s="237"/>
      <c r="M505" s="237"/>
      <c r="N505" s="239">
        <f t="shared" si="260"/>
        <v>21.437</v>
      </c>
      <c r="O505" s="239"/>
      <c r="P505" s="239">
        <f t="shared" si="261"/>
        <v>21.437</v>
      </c>
      <c r="Q505" s="505">
        <v>21.437</v>
      </c>
      <c r="R505" s="307"/>
      <c r="S505" s="307"/>
      <c r="T505" s="307"/>
      <c r="U505" s="306"/>
      <c r="V505" s="240"/>
      <c r="W505" s="240"/>
      <c r="X505" s="240"/>
      <c r="Y505" s="240"/>
      <c r="Z505" s="308"/>
      <c r="AA505" s="308"/>
      <c r="AB505" s="241"/>
      <c r="AC505" s="242"/>
      <c r="AD505" s="259"/>
      <c r="AE505" s="308"/>
      <c r="AF505" s="308"/>
      <c r="AG505" s="240"/>
      <c r="AH505" s="240"/>
      <c r="AI505" s="240"/>
      <c r="AJ505" s="240"/>
      <c r="AK505" s="308"/>
      <c r="AL505" s="244"/>
      <c r="AM505" s="236"/>
      <c r="AN505" s="378"/>
    </row>
    <row r="506" spans="1:40" s="506" customFormat="1" ht="19.5" customHeight="1">
      <c r="A506" s="263"/>
      <c r="B506" s="478" t="s">
        <v>326</v>
      </c>
      <c r="C506" s="502" t="s">
        <v>1397</v>
      </c>
      <c r="D506" s="502" t="s">
        <v>327</v>
      </c>
      <c r="E506" s="503"/>
      <c r="F506" s="504">
        <v>3000</v>
      </c>
      <c r="G506" s="504">
        <v>2687.563</v>
      </c>
      <c r="H506" s="504">
        <v>2687.563</v>
      </c>
      <c r="I506" s="237">
        <v>3000</v>
      </c>
      <c r="J506" s="237"/>
      <c r="K506" s="237">
        <v>3000</v>
      </c>
      <c r="L506" s="237"/>
      <c r="M506" s="237"/>
      <c r="N506" s="239">
        <f t="shared" si="260"/>
        <v>2687.563</v>
      </c>
      <c r="O506" s="239"/>
      <c r="P506" s="239">
        <f t="shared" si="261"/>
        <v>2687.563</v>
      </c>
      <c r="Q506" s="505">
        <v>2687.563</v>
      </c>
      <c r="R506" s="307"/>
      <c r="S506" s="307"/>
      <c r="T506" s="307"/>
      <c r="U506" s="306"/>
      <c r="V506" s="240"/>
      <c r="W506" s="240"/>
      <c r="X506" s="240"/>
      <c r="Y506" s="240"/>
      <c r="Z506" s="308"/>
      <c r="AA506" s="308"/>
      <c r="AB506" s="241"/>
      <c r="AC506" s="242"/>
      <c r="AD506" s="259"/>
      <c r="AE506" s="308"/>
      <c r="AF506" s="308"/>
      <c r="AG506" s="240"/>
      <c r="AH506" s="240"/>
      <c r="AI506" s="240"/>
      <c r="AJ506" s="240"/>
      <c r="AK506" s="308"/>
      <c r="AL506" s="244"/>
      <c r="AM506" s="236"/>
      <c r="AN506" s="378"/>
    </row>
    <row r="507" spans="1:40" s="506" customFormat="1" ht="19.5" customHeight="1">
      <c r="A507" s="263"/>
      <c r="B507" s="478" t="s">
        <v>328</v>
      </c>
      <c r="C507" s="502" t="s">
        <v>1397</v>
      </c>
      <c r="D507" s="502" t="s">
        <v>329</v>
      </c>
      <c r="E507" s="503" t="s">
        <v>330</v>
      </c>
      <c r="F507" s="504">
        <v>4869.262392</v>
      </c>
      <c r="G507" s="504">
        <v>4830.119</v>
      </c>
      <c r="H507" s="504">
        <v>4830.119</v>
      </c>
      <c r="I507" s="237">
        <v>589.158</v>
      </c>
      <c r="J507" s="237">
        <v>589.158</v>
      </c>
      <c r="K507" s="237">
        <v>589.158</v>
      </c>
      <c r="L507" s="237"/>
      <c r="M507" s="237"/>
      <c r="N507" s="239">
        <f t="shared" si="260"/>
        <v>550.277</v>
      </c>
      <c r="O507" s="239">
        <v>550.277</v>
      </c>
      <c r="P507" s="239">
        <f t="shared" si="261"/>
        <v>550.277</v>
      </c>
      <c r="Q507" s="505"/>
      <c r="R507" s="239">
        <v>550.277</v>
      </c>
      <c r="S507" s="307"/>
      <c r="T507" s="307"/>
      <c r="U507" s="306"/>
      <c r="V507" s="240"/>
      <c r="W507" s="240"/>
      <c r="X507" s="240"/>
      <c r="Y507" s="240"/>
      <c r="Z507" s="308"/>
      <c r="AA507" s="308"/>
      <c r="AB507" s="241"/>
      <c r="AC507" s="242"/>
      <c r="AD507" s="259"/>
      <c r="AE507" s="308"/>
      <c r="AF507" s="308"/>
      <c r="AG507" s="240"/>
      <c r="AH507" s="240"/>
      <c r="AI507" s="240"/>
      <c r="AJ507" s="240"/>
      <c r="AK507" s="308"/>
      <c r="AL507" s="244"/>
      <c r="AM507" s="236"/>
      <c r="AN507" s="378"/>
    </row>
    <row r="508" spans="1:40" s="506" customFormat="1" ht="19.5" customHeight="1">
      <c r="A508" s="263"/>
      <c r="B508" s="478" t="s">
        <v>331</v>
      </c>
      <c r="C508" s="502" t="s">
        <v>1397</v>
      </c>
      <c r="D508" s="502" t="s">
        <v>329</v>
      </c>
      <c r="E508" s="503" t="s">
        <v>332</v>
      </c>
      <c r="F508" s="504">
        <v>3032.63</v>
      </c>
      <c r="G508" s="504">
        <v>2850.035</v>
      </c>
      <c r="H508" s="504">
        <v>2850.035</v>
      </c>
      <c r="I508" s="237">
        <v>96.511</v>
      </c>
      <c r="J508" s="237">
        <v>96.511</v>
      </c>
      <c r="K508" s="237">
        <v>96.511</v>
      </c>
      <c r="L508" s="237"/>
      <c r="M508" s="237"/>
      <c r="N508" s="239">
        <f t="shared" si="260"/>
        <v>91.586</v>
      </c>
      <c r="O508" s="239">
        <v>91.586</v>
      </c>
      <c r="P508" s="239">
        <f t="shared" si="261"/>
        <v>91.586</v>
      </c>
      <c r="Q508" s="505"/>
      <c r="R508" s="239">
        <v>91.586</v>
      </c>
      <c r="S508" s="307"/>
      <c r="T508" s="307"/>
      <c r="U508" s="306"/>
      <c r="V508" s="240"/>
      <c r="W508" s="240"/>
      <c r="X508" s="240"/>
      <c r="Y508" s="240"/>
      <c r="Z508" s="308"/>
      <c r="AA508" s="308"/>
      <c r="AB508" s="241"/>
      <c r="AC508" s="242"/>
      <c r="AD508" s="259"/>
      <c r="AE508" s="308"/>
      <c r="AF508" s="308"/>
      <c r="AG508" s="240"/>
      <c r="AH508" s="240"/>
      <c r="AI508" s="240"/>
      <c r="AJ508" s="240"/>
      <c r="AK508" s="308"/>
      <c r="AL508" s="244"/>
      <c r="AM508" s="236"/>
      <c r="AN508" s="378"/>
    </row>
    <row r="509" spans="1:40" s="506" customFormat="1" ht="19.5" customHeight="1">
      <c r="A509" s="263"/>
      <c r="B509" s="478" t="s">
        <v>333</v>
      </c>
      <c r="C509" s="502" t="s">
        <v>1054</v>
      </c>
      <c r="D509" s="502" t="s">
        <v>1377</v>
      </c>
      <c r="E509" s="503"/>
      <c r="F509" s="504">
        <v>18780</v>
      </c>
      <c r="G509" s="504">
        <v>0</v>
      </c>
      <c r="H509" s="504">
        <v>5460</v>
      </c>
      <c r="I509" s="237">
        <v>13320</v>
      </c>
      <c r="J509" s="237"/>
      <c r="K509" s="237">
        <v>13320</v>
      </c>
      <c r="L509" s="237"/>
      <c r="M509" s="237"/>
      <c r="N509" s="239">
        <f t="shared" si="260"/>
        <v>10136.903</v>
      </c>
      <c r="O509" s="239"/>
      <c r="P509" s="239">
        <f t="shared" si="261"/>
        <v>10136.903</v>
      </c>
      <c r="Q509" s="505">
        <v>10136.903</v>
      </c>
      <c r="R509" s="307"/>
      <c r="S509" s="307"/>
      <c r="T509" s="307"/>
      <c r="U509" s="306"/>
      <c r="V509" s="240"/>
      <c r="W509" s="240"/>
      <c r="X509" s="240"/>
      <c r="Y509" s="240"/>
      <c r="Z509" s="308"/>
      <c r="AA509" s="308"/>
      <c r="AB509" s="241"/>
      <c r="AC509" s="242"/>
      <c r="AD509" s="259"/>
      <c r="AE509" s="308"/>
      <c r="AF509" s="308"/>
      <c r="AG509" s="240"/>
      <c r="AH509" s="240"/>
      <c r="AI509" s="240"/>
      <c r="AJ509" s="240"/>
      <c r="AK509" s="308"/>
      <c r="AL509" s="244"/>
      <c r="AM509" s="236"/>
      <c r="AN509" s="378"/>
    </row>
    <row r="510" spans="1:40" s="506" customFormat="1" ht="19.5" customHeight="1">
      <c r="A510" s="263"/>
      <c r="B510" s="478" t="s">
        <v>334</v>
      </c>
      <c r="C510" s="502" t="s">
        <v>1054</v>
      </c>
      <c r="D510" s="502" t="s">
        <v>335</v>
      </c>
      <c r="E510" s="503"/>
      <c r="F510" s="504">
        <v>3720</v>
      </c>
      <c r="G510" s="504">
        <v>0</v>
      </c>
      <c r="H510" s="504">
        <v>0</v>
      </c>
      <c r="I510" s="237">
        <v>3720</v>
      </c>
      <c r="J510" s="237"/>
      <c r="K510" s="237">
        <v>3720</v>
      </c>
      <c r="L510" s="237"/>
      <c r="M510" s="237"/>
      <c r="N510" s="239">
        <f t="shared" si="260"/>
        <v>1021.818</v>
      </c>
      <c r="O510" s="239"/>
      <c r="P510" s="239">
        <f t="shared" si="261"/>
        <v>1021.818</v>
      </c>
      <c r="Q510" s="505">
        <v>1021.818</v>
      </c>
      <c r="R510" s="307"/>
      <c r="S510" s="307"/>
      <c r="T510" s="307"/>
      <c r="U510" s="306"/>
      <c r="V510" s="240"/>
      <c r="W510" s="240"/>
      <c r="X510" s="240"/>
      <c r="Y510" s="240"/>
      <c r="Z510" s="308"/>
      <c r="AA510" s="308"/>
      <c r="AB510" s="241"/>
      <c r="AC510" s="242"/>
      <c r="AD510" s="259"/>
      <c r="AE510" s="308"/>
      <c r="AF510" s="308"/>
      <c r="AG510" s="240"/>
      <c r="AH510" s="240"/>
      <c r="AI510" s="240"/>
      <c r="AJ510" s="240"/>
      <c r="AK510" s="308"/>
      <c r="AL510" s="244"/>
      <c r="AM510" s="236"/>
      <c r="AN510" s="378"/>
    </row>
    <row r="511" spans="1:40" s="506" customFormat="1" ht="19.5" customHeight="1">
      <c r="A511" s="263"/>
      <c r="B511" s="478" t="s">
        <v>336</v>
      </c>
      <c r="C511" s="502" t="s">
        <v>1054</v>
      </c>
      <c r="D511" s="502" t="s">
        <v>335</v>
      </c>
      <c r="E511" s="503"/>
      <c r="F511" s="504">
        <v>3600</v>
      </c>
      <c r="G511" s="504">
        <v>0</v>
      </c>
      <c r="H511" s="504">
        <v>0</v>
      </c>
      <c r="I511" s="237">
        <v>3600</v>
      </c>
      <c r="J511" s="237"/>
      <c r="K511" s="237">
        <v>3600</v>
      </c>
      <c r="L511" s="237"/>
      <c r="M511" s="237"/>
      <c r="N511" s="239">
        <f t="shared" si="260"/>
        <v>1425.705</v>
      </c>
      <c r="O511" s="239"/>
      <c r="P511" s="239">
        <f t="shared" si="261"/>
        <v>1425.705</v>
      </c>
      <c r="Q511" s="505">
        <v>1425.705</v>
      </c>
      <c r="R511" s="307"/>
      <c r="S511" s="307"/>
      <c r="T511" s="307"/>
      <c r="U511" s="306"/>
      <c r="V511" s="240"/>
      <c r="W511" s="240"/>
      <c r="X511" s="240"/>
      <c r="Y511" s="240"/>
      <c r="Z511" s="308"/>
      <c r="AA511" s="308"/>
      <c r="AB511" s="241"/>
      <c r="AC511" s="242"/>
      <c r="AD511" s="259"/>
      <c r="AE511" s="308"/>
      <c r="AF511" s="308"/>
      <c r="AG511" s="240"/>
      <c r="AH511" s="240"/>
      <c r="AI511" s="240"/>
      <c r="AJ511" s="240"/>
      <c r="AK511" s="308"/>
      <c r="AL511" s="244"/>
      <c r="AM511" s="236"/>
      <c r="AN511" s="378"/>
    </row>
    <row r="512" spans="1:40" s="506" customFormat="1" ht="19.5" customHeight="1">
      <c r="A512" s="263"/>
      <c r="B512" s="478" t="s">
        <v>337</v>
      </c>
      <c r="C512" s="502" t="s">
        <v>1054</v>
      </c>
      <c r="D512" s="502" t="s">
        <v>335</v>
      </c>
      <c r="E512" s="503"/>
      <c r="F512" s="504">
        <v>1825</v>
      </c>
      <c r="G512" s="504">
        <v>0</v>
      </c>
      <c r="H512" s="504">
        <v>0</v>
      </c>
      <c r="I512" s="237">
        <v>1825</v>
      </c>
      <c r="J512" s="237"/>
      <c r="K512" s="237">
        <v>1825</v>
      </c>
      <c r="L512" s="237"/>
      <c r="M512" s="237"/>
      <c r="N512" s="239">
        <f t="shared" si="260"/>
        <v>113.888</v>
      </c>
      <c r="O512" s="239"/>
      <c r="P512" s="239">
        <f t="shared" si="261"/>
        <v>113.888</v>
      </c>
      <c r="Q512" s="505">
        <v>113.888</v>
      </c>
      <c r="R512" s="307"/>
      <c r="S512" s="307"/>
      <c r="T512" s="307"/>
      <c r="U512" s="306"/>
      <c r="V512" s="240"/>
      <c r="W512" s="240"/>
      <c r="X512" s="240"/>
      <c r="Y512" s="240"/>
      <c r="Z512" s="308"/>
      <c r="AA512" s="308"/>
      <c r="AB512" s="241"/>
      <c r="AC512" s="242"/>
      <c r="AD512" s="259"/>
      <c r="AE512" s="308"/>
      <c r="AF512" s="308"/>
      <c r="AG512" s="240"/>
      <c r="AH512" s="240"/>
      <c r="AI512" s="240"/>
      <c r="AJ512" s="240"/>
      <c r="AK512" s="308"/>
      <c r="AL512" s="244"/>
      <c r="AM512" s="236"/>
      <c r="AN512" s="378"/>
    </row>
    <row r="513" spans="1:40" s="506" customFormat="1" ht="19.5" customHeight="1">
      <c r="A513" s="263"/>
      <c r="B513" s="478" t="s">
        <v>338</v>
      </c>
      <c r="C513" s="502" t="s">
        <v>1608</v>
      </c>
      <c r="D513" s="502"/>
      <c r="E513" s="503" t="s">
        <v>309</v>
      </c>
      <c r="F513" s="504">
        <v>2100</v>
      </c>
      <c r="G513" s="504">
        <v>2058.7</v>
      </c>
      <c r="H513" s="504">
        <v>2058.7</v>
      </c>
      <c r="I513" s="237">
        <v>2100</v>
      </c>
      <c r="J513" s="237"/>
      <c r="K513" s="237">
        <v>2100</v>
      </c>
      <c r="L513" s="237"/>
      <c r="M513" s="237"/>
      <c r="N513" s="239">
        <f t="shared" si="260"/>
        <v>2058.78</v>
      </c>
      <c r="O513" s="239"/>
      <c r="P513" s="239">
        <v>2058.78</v>
      </c>
      <c r="Q513" s="505">
        <v>2058.7</v>
      </c>
      <c r="R513" s="307"/>
      <c r="S513" s="307"/>
      <c r="T513" s="307"/>
      <c r="U513" s="306"/>
      <c r="V513" s="240"/>
      <c r="W513" s="240"/>
      <c r="X513" s="240"/>
      <c r="Y513" s="240"/>
      <c r="Z513" s="308"/>
      <c r="AA513" s="308"/>
      <c r="AB513" s="241"/>
      <c r="AC513" s="242"/>
      <c r="AD513" s="259"/>
      <c r="AE513" s="308"/>
      <c r="AF513" s="308"/>
      <c r="AG513" s="240"/>
      <c r="AH513" s="240"/>
      <c r="AI513" s="240"/>
      <c r="AJ513" s="240"/>
      <c r="AK513" s="308"/>
      <c r="AL513" s="244"/>
      <c r="AM513" s="236"/>
      <c r="AN513" s="378"/>
    </row>
    <row r="514" spans="1:40" s="506" customFormat="1" ht="19.5" customHeight="1">
      <c r="A514" s="263"/>
      <c r="B514" s="478" t="s">
        <v>339</v>
      </c>
      <c r="C514" s="502" t="s">
        <v>1608</v>
      </c>
      <c r="D514" s="502"/>
      <c r="E514" s="503" t="s">
        <v>309</v>
      </c>
      <c r="F514" s="504">
        <v>1750</v>
      </c>
      <c r="G514" s="504">
        <v>1617</v>
      </c>
      <c r="H514" s="504">
        <v>1617</v>
      </c>
      <c r="I514" s="237">
        <v>1750</v>
      </c>
      <c r="J514" s="237"/>
      <c r="K514" s="237">
        <v>1750</v>
      </c>
      <c r="L514" s="237"/>
      <c r="M514" s="237"/>
      <c r="N514" s="239">
        <f t="shared" si="260"/>
        <v>1617.45</v>
      </c>
      <c r="O514" s="239"/>
      <c r="P514" s="239">
        <v>1617.45</v>
      </c>
      <c r="Q514" s="505">
        <v>1617</v>
      </c>
      <c r="R514" s="307"/>
      <c r="S514" s="307"/>
      <c r="T514" s="307"/>
      <c r="U514" s="306"/>
      <c r="V514" s="240"/>
      <c r="W514" s="240"/>
      <c r="X514" s="240"/>
      <c r="Y514" s="240"/>
      <c r="Z514" s="308"/>
      <c r="AA514" s="308"/>
      <c r="AB514" s="241"/>
      <c r="AC514" s="242"/>
      <c r="AD514" s="259"/>
      <c r="AE514" s="308"/>
      <c r="AF514" s="308"/>
      <c r="AG514" s="240"/>
      <c r="AH514" s="240"/>
      <c r="AI514" s="240"/>
      <c r="AJ514" s="240"/>
      <c r="AK514" s="308"/>
      <c r="AL514" s="244"/>
      <c r="AM514" s="236"/>
      <c r="AN514" s="378"/>
    </row>
    <row r="515" spans="1:40" s="506" customFormat="1" ht="19.5" customHeight="1">
      <c r="A515" s="263"/>
      <c r="B515" s="478" t="s">
        <v>340</v>
      </c>
      <c r="C515" s="502" t="s">
        <v>1608</v>
      </c>
      <c r="D515" s="502"/>
      <c r="E515" s="503" t="s">
        <v>309</v>
      </c>
      <c r="F515" s="504">
        <v>1310</v>
      </c>
      <c r="G515" s="504">
        <v>1222</v>
      </c>
      <c r="H515" s="504">
        <v>1221.7</v>
      </c>
      <c r="I515" s="237">
        <v>1310</v>
      </c>
      <c r="J515" s="237"/>
      <c r="K515" s="237">
        <v>1310</v>
      </c>
      <c r="L515" s="237"/>
      <c r="M515" s="237"/>
      <c r="N515" s="239">
        <f t="shared" si="260"/>
        <v>1221.72</v>
      </c>
      <c r="O515" s="239"/>
      <c r="P515" s="239">
        <v>1221.72</v>
      </c>
      <c r="Q515" s="505">
        <v>1221.7</v>
      </c>
      <c r="R515" s="307"/>
      <c r="S515" s="307"/>
      <c r="T515" s="307"/>
      <c r="U515" s="306"/>
      <c r="V515" s="240"/>
      <c r="W515" s="240"/>
      <c r="X515" s="240"/>
      <c r="Y515" s="240"/>
      <c r="Z515" s="308"/>
      <c r="AA515" s="308"/>
      <c r="AB515" s="241"/>
      <c r="AC515" s="242"/>
      <c r="AD515" s="259"/>
      <c r="AE515" s="308"/>
      <c r="AF515" s="308"/>
      <c r="AG515" s="240"/>
      <c r="AH515" s="240"/>
      <c r="AI515" s="240"/>
      <c r="AJ515" s="240"/>
      <c r="AK515" s="308"/>
      <c r="AL515" s="244"/>
      <c r="AM515" s="236"/>
      <c r="AN515" s="378"/>
    </row>
    <row r="516" spans="1:40" s="506" customFormat="1" ht="19.5" customHeight="1">
      <c r="A516" s="263"/>
      <c r="B516" s="478" t="s">
        <v>341</v>
      </c>
      <c r="C516" s="502" t="s">
        <v>1408</v>
      </c>
      <c r="D516" s="502"/>
      <c r="E516" s="503"/>
      <c r="F516" s="504">
        <v>14811</v>
      </c>
      <c r="G516" s="504"/>
      <c r="H516" s="504"/>
      <c r="I516" s="237">
        <v>1950.034</v>
      </c>
      <c r="J516" s="237"/>
      <c r="K516" s="237">
        <v>1950.034</v>
      </c>
      <c r="L516" s="237"/>
      <c r="M516" s="237"/>
      <c r="N516" s="239">
        <f t="shared" si="260"/>
        <v>2477.6440000000002</v>
      </c>
      <c r="O516" s="239"/>
      <c r="P516" s="239">
        <f t="shared" si="261"/>
        <v>2477.6440000000002</v>
      </c>
      <c r="Q516" s="505">
        <v>2477.6440000000002</v>
      </c>
      <c r="R516" s="307"/>
      <c r="S516" s="307"/>
      <c r="T516" s="307"/>
      <c r="U516" s="306"/>
      <c r="V516" s="240"/>
      <c r="W516" s="240"/>
      <c r="X516" s="240"/>
      <c r="Y516" s="240"/>
      <c r="Z516" s="308"/>
      <c r="AA516" s="308"/>
      <c r="AB516" s="241"/>
      <c r="AC516" s="242"/>
      <c r="AD516" s="259"/>
      <c r="AE516" s="308"/>
      <c r="AF516" s="308"/>
      <c r="AG516" s="240"/>
      <c r="AH516" s="240"/>
      <c r="AI516" s="240"/>
      <c r="AJ516" s="240"/>
      <c r="AK516" s="308"/>
      <c r="AL516" s="244"/>
      <c r="AM516" s="236"/>
      <c r="AN516" s="378"/>
    </row>
    <row r="517" spans="1:40" s="506" customFormat="1" ht="19.5" customHeight="1">
      <c r="A517" s="263"/>
      <c r="B517" s="478" t="s">
        <v>342</v>
      </c>
      <c r="C517" s="502" t="s">
        <v>1355</v>
      </c>
      <c r="D517" s="502"/>
      <c r="E517" s="503"/>
      <c r="F517" s="504"/>
      <c r="G517" s="504"/>
      <c r="H517" s="504"/>
      <c r="I517" s="237">
        <v>3137.8779999999997</v>
      </c>
      <c r="J517" s="237">
        <v>2039.878</v>
      </c>
      <c r="K517" s="237">
        <v>3137.88</v>
      </c>
      <c r="L517" s="237"/>
      <c r="M517" s="237"/>
      <c r="N517" s="239">
        <f t="shared" si="260"/>
        <v>1803.94</v>
      </c>
      <c r="O517" s="239">
        <v>705.937</v>
      </c>
      <c r="P517" s="239">
        <v>1803.94</v>
      </c>
      <c r="Q517" s="505">
        <v>1098</v>
      </c>
      <c r="R517" s="239">
        <v>705.937</v>
      </c>
      <c r="S517" s="307"/>
      <c r="T517" s="307"/>
      <c r="U517" s="306"/>
      <c r="V517" s="240"/>
      <c r="W517" s="240"/>
      <c r="X517" s="240"/>
      <c r="Y517" s="240"/>
      <c r="Z517" s="308"/>
      <c r="AA517" s="308"/>
      <c r="AB517" s="241"/>
      <c r="AC517" s="242"/>
      <c r="AD517" s="259"/>
      <c r="AE517" s="308"/>
      <c r="AF517" s="308"/>
      <c r="AG517" s="240"/>
      <c r="AH517" s="240"/>
      <c r="AI517" s="240"/>
      <c r="AJ517" s="240"/>
      <c r="AK517" s="308"/>
      <c r="AL517" s="244"/>
      <c r="AM517" s="236"/>
      <c r="AN517" s="378"/>
    </row>
    <row r="518" spans="1:40" s="506" customFormat="1" ht="19.5" customHeight="1">
      <c r="A518" s="263"/>
      <c r="B518" s="478" t="s">
        <v>343</v>
      </c>
      <c r="C518" s="502" t="s">
        <v>1355</v>
      </c>
      <c r="D518" s="502"/>
      <c r="E518" s="503"/>
      <c r="F518" s="504"/>
      <c r="G518" s="504"/>
      <c r="H518" s="504"/>
      <c r="I518" s="237">
        <v>837.885</v>
      </c>
      <c r="J518" s="237">
        <v>272.885</v>
      </c>
      <c r="K518" s="237">
        <v>837.89</v>
      </c>
      <c r="L518" s="237"/>
      <c r="M518" s="237"/>
      <c r="N518" s="239">
        <f t="shared" si="260"/>
        <v>564.263</v>
      </c>
      <c r="O518" s="239"/>
      <c r="P518" s="239">
        <f t="shared" si="261"/>
        <v>564.263</v>
      </c>
      <c r="Q518" s="505">
        <v>564.263</v>
      </c>
      <c r="R518" s="307"/>
      <c r="S518" s="307"/>
      <c r="T518" s="307"/>
      <c r="U518" s="306"/>
      <c r="V518" s="240"/>
      <c r="W518" s="240"/>
      <c r="X518" s="240"/>
      <c r="Y518" s="240"/>
      <c r="Z518" s="308"/>
      <c r="AA518" s="308"/>
      <c r="AB518" s="241"/>
      <c r="AC518" s="242"/>
      <c r="AD518" s="259"/>
      <c r="AE518" s="308"/>
      <c r="AF518" s="308"/>
      <c r="AG518" s="240"/>
      <c r="AH518" s="240"/>
      <c r="AI518" s="240"/>
      <c r="AJ518" s="240"/>
      <c r="AK518" s="308"/>
      <c r="AL518" s="244"/>
      <c r="AM518" s="236"/>
      <c r="AN518" s="378"/>
    </row>
    <row r="519" spans="1:40" s="506" customFormat="1" ht="19.5" customHeight="1">
      <c r="A519" s="263"/>
      <c r="B519" s="478" t="s">
        <v>344</v>
      </c>
      <c r="C519" s="502" t="s">
        <v>345</v>
      </c>
      <c r="D519" s="502"/>
      <c r="E519" s="503"/>
      <c r="F519" s="504"/>
      <c r="G519" s="504"/>
      <c r="H519" s="504"/>
      <c r="I519" s="237">
        <v>5099</v>
      </c>
      <c r="J519" s="237"/>
      <c r="K519" s="237">
        <v>5099</v>
      </c>
      <c r="L519" s="237"/>
      <c r="M519" s="237"/>
      <c r="N519" s="239">
        <f t="shared" si="260"/>
        <v>5099</v>
      </c>
      <c r="O519" s="239"/>
      <c r="P519" s="239">
        <v>5099</v>
      </c>
      <c r="Q519" s="505">
        <v>5196.0731</v>
      </c>
      <c r="R519" s="307"/>
      <c r="S519" s="307"/>
      <c r="T519" s="307"/>
      <c r="U519" s="306"/>
      <c r="V519" s="240"/>
      <c r="W519" s="240"/>
      <c r="X519" s="240"/>
      <c r="Y519" s="240"/>
      <c r="Z519" s="308"/>
      <c r="AA519" s="308"/>
      <c r="AB519" s="241"/>
      <c r="AC519" s="242"/>
      <c r="AD519" s="259"/>
      <c r="AE519" s="308"/>
      <c r="AF519" s="308"/>
      <c r="AG519" s="240"/>
      <c r="AH519" s="240"/>
      <c r="AI519" s="240"/>
      <c r="AJ519" s="240"/>
      <c r="AK519" s="308"/>
      <c r="AL519" s="244"/>
      <c r="AM519" s="236"/>
      <c r="AN519" s="378"/>
    </row>
    <row r="520" spans="1:148" s="501" customFormat="1" ht="19.5" customHeight="1">
      <c r="A520" s="216">
        <v>23</v>
      </c>
      <c r="B520" s="217" t="s">
        <v>346</v>
      </c>
      <c r="C520" s="218"/>
      <c r="D520" s="456"/>
      <c r="E520" s="219"/>
      <c r="F520" s="221"/>
      <c r="G520" s="221"/>
      <c r="H520" s="221"/>
      <c r="I520" s="222">
        <f>SUM(I521:I523)</f>
        <v>11791</v>
      </c>
      <c r="J520" s="222">
        <f aca="true" t="shared" si="262" ref="J520:P520">SUM(J521:J523)</f>
        <v>291</v>
      </c>
      <c r="K520" s="222">
        <f t="shared" si="262"/>
        <v>11791</v>
      </c>
      <c r="L520" s="222">
        <f t="shared" si="262"/>
        <v>0</v>
      </c>
      <c r="M520" s="222">
        <f t="shared" si="262"/>
        <v>0</v>
      </c>
      <c r="N520" s="222">
        <f t="shared" si="262"/>
        <v>6912.454</v>
      </c>
      <c r="O520" s="222">
        <f t="shared" si="262"/>
        <v>0</v>
      </c>
      <c r="P520" s="222">
        <f t="shared" si="262"/>
        <v>6912.454</v>
      </c>
      <c r="Q520" s="222">
        <f>SUM(Q521:Q523)</f>
        <v>6621.454</v>
      </c>
      <c r="R520" s="222">
        <f>SUM(R521:R523)</f>
        <v>0</v>
      </c>
      <c r="S520" s="222">
        <f>SUM(S521:S523)</f>
        <v>291</v>
      </c>
      <c r="T520" s="222">
        <f>SUM(T521:T523)</f>
        <v>0</v>
      </c>
      <c r="U520" s="221"/>
      <c r="V520" s="223">
        <f>SUM(V521)</f>
        <v>0</v>
      </c>
      <c r="W520" s="223">
        <f>SUM(W521)</f>
        <v>0</v>
      </c>
      <c r="X520" s="223">
        <f>SUM(X521)</f>
        <v>0</v>
      </c>
      <c r="Y520" s="223">
        <f>SUM(Y521)</f>
        <v>0</v>
      </c>
      <c r="Z520" s="223">
        <f aca="true" t="shared" si="263" ref="Z520:AM520">SUM(Z521)</f>
        <v>0</v>
      </c>
      <c r="AA520" s="223">
        <f t="shared" si="263"/>
        <v>0</v>
      </c>
      <c r="AB520" s="223">
        <f t="shared" si="263"/>
        <v>0</v>
      </c>
      <c r="AC520" s="223">
        <f t="shared" si="263"/>
        <v>0</v>
      </c>
      <c r="AD520" s="223">
        <f t="shared" si="263"/>
        <v>0</v>
      </c>
      <c r="AE520" s="223">
        <f t="shared" si="263"/>
        <v>0</v>
      </c>
      <c r="AF520" s="223">
        <f t="shared" si="263"/>
        <v>0</v>
      </c>
      <c r="AG520" s="223">
        <f t="shared" si="263"/>
        <v>0</v>
      </c>
      <c r="AH520" s="223">
        <f t="shared" si="263"/>
        <v>0</v>
      </c>
      <c r="AI520" s="223">
        <f t="shared" si="263"/>
        <v>0</v>
      </c>
      <c r="AJ520" s="223">
        <f t="shared" si="263"/>
        <v>0</v>
      </c>
      <c r="AK520" s="223">
        <f t="shared" si="263"/>
        <v>0</v>
      </c>
      <c r="AL520" s="223">
        <f t="shared" si="263"/>
        <v>0</v>
      </c>
      <c r="AM520" s="223">
        <f t="shared" si="263"/>
        <v>0</v>
      </c>
      <c r="AN520" s="196"/>
      <c r="AO520" s="196"/>
      <c r="AP520" s="196"/>
      <c r="AQ520" s="196"/>
      <c r="AR520" s="196"/>
      <c r="AS520" s="196"/>
      <c r="AT520" s="196"/>
      <c r="AU520" s="196"/>
      <c r="AV520" s="196"/>
      <c r="AW520" s="196"/>
      <c r="AX520" s="196"/>
      <c r="AY520" s="196"/>
      <c r="AZ520" s="196"/>
      <c r="BA520" s="196"/>
      <c r="BB520" s="196"/>
      <c r="BC520" s="196"/>
      <c r="BD520" s="196"/>
      <c r="BE520" s="196"/>
      <c r="BF520" s="196"/>
      <c r="BG520" s="196"/>
      <c r="BH520" s="196"/>
      <c r="BI520" s="196"/>
      <c r="BJ520" s="196"/>
      <c r="BK520" s="196"/>
      <c r="BL520" s="196"/>
      <c r="BM520" s="196"/>
      <c r="BN520" s="196"/>
      <c r="BO520" s="196"/>
      <c r="BP520" s="196"/>
      <c r="BQ520" s="196"/>
      <c r="BR520" s="196"/>
      <c r="BS520" s="196"/>
      <c r="BT520" s="196"/>
      <c r="BU520" s="196"/>
      <c r="BV520" s="196"/>
      <c r="BW520" s="196"/>
      <c r="BX520" s="196"/>
      <c r="BY520" s="196"/>
      <c r="BZ520" s="196"/>
      <c r="CA520" s="196"/>
      <c r="CB520" s="196"/>
      <c r="CC520" s="196"/>
      <c r="CD520" s="196"/>
      <c r="CE520" s="196"/>
      <c r="CF520" s="196"/>
      <c r="CG520" s="196"/>
      <c r="CH520" s="196"/>
      <c r="CI520" s="196"/>
      <c r="CJ520" s="196"/>
      <c r="CK520" s="196"/>
      <c r="CL520" s="196"/>
      <c r="CM520" s="196"/>
      <c r="CN520" s="196"/>
      <c r="CO520" s="196"/>
      <c r="CP520" s="196"/>
      <c r="CQ520" s="196"/>
      <c r="CR520" s="196"/>
      <c r="CS520" s="196"/>
      <c r="CT520" s="196"/>
      <c r="CU520" s="196"/>
      <c r="CV520" s="196"/>
      <c r="CW520" s="196"/>
      <c r="CX520" s="196"/>
      <c r="CY520" s="196"/>
      <c r="CZ520" s="196"/>
      <c r="DA520" s="196"/>
      <c r="DB520" s="196"/>
      <c r="DC520" s="196"/>
      <c r="DD520" s="196"/>
      <c r="DE520" s="196"/>
      <c r="DF520" s="196"/>
      <c r="DG520" s="196"/>
      <c r="DH520" s="196"/>
      <c r="DI520" s="196"/>
      <c r="DJ520" s="196"/>
      <c r="DK520" s="196"/>
      <c r="DL520" s="196"/>
      <c r="DM520" s="196"/>
      <c r="DN520" s="196"/>
      <c r="DO520" s="196"/>
      <c r="DP520" s="196"/>
      <c r="DQ520" s="196"/>
      <c r="DR520" s="196"/>
      <c r="DS520" s="196"/>
      <c r="DT520" s="196"/>
      <c r="DU520" s="196"/>
      <c r="DV520" s="196"/>
      <c r="DW520" s="196"/>
      <c r="DX520" s="196"/>
      <c r="DY520" s="196"/>
      <c r="DZ520" s="196"/>
      <c r="EA520" s="196"/>
      <c r="EB520" s="196"/>
      <c r="EC520" s="196"/>
      <c r="ED520" s="196"/>
      <c r="EE520" s="196"/>
      <c r="EF520" s="196"/>
      <c r="EG520" s="196"/>
      <c r="EH520" s="196"/>
      <c r="EI520" s="196"/>
      <c r="EJ520" s="196"/>
      <c r="EK520" s="196"/>
      <c r="EL520" s="196"/>
      <c r="EM520" s="196"/>
      <c r="EN520" s="196"/>
      <c r="EO520" s="196"/>
      <c r="EP520" s="196"/>
      <c r="EQ520" s="196"/>
      <c r="ER520" s="196"/>
    </row>
    <row r="521" spans="1:40" s="506" customFormat="1" ht="19.5" customHeight="1">
      <c r="A521" s="263"/>
      <c r="B521" s="478" t="s">
        <v>347</v>
      </c>
      <c r="C521" s="502" t="s">
        <v>1273</v>
      </c>
      <c r="D521" s="502" t="s">
        <v>1356</v>
      </c>
      <c r="E521" s="503"/>
      <c r="F521" s="504"/>
      <c r="G521" s="504"/>
      <c r="H521" s="504"/>
      <c r="I521" s="237">
        <f>SUM(K521,M521)</f>
        <v>291</v>
      </c>
      <c r="J521" s="237">
        <v>291</v>
      </c>
      <c r="K521" s="237">
        <v>291</v>
      </c>
      <c r="L521" s="237"/>
      <c r="M521" s="237"/>
      <c r="N521" s="239">
        <f>SUM(P521,U521)</f>
        <v>291</v>
      </c>
      <c r="O521" s="239"/>
      <c r="P521" s="239">
        <f t="shared" si="261"/>
        <v>291</v>
      </c>
      <c r="Q521" s="505"/>
      <c r="R521" s="307"/>
      <c r="S521" s="505">
        <v>291</v>
      </c>
      <c r="T521" s="307"/>
      <c r="U521" s="306"/>
      <c r="V521" s="240"/>
      <c r="W521" s="240"/>
      <c r="X521" s="240"/>
      <c r="Y521" s="240"/>
      <c r="Z521" s="308"/>
      <c r="AA521" s="308"/>
      <c r="AB521" s="241"/>
      <c r="AC521" s="242"/>
      <c r="AD521" s="259"/>
      <c r="AE521" s="308"/>
      <c r="AF521" s="308"/>
      <c r="AG521" s="240"/>
      <c r="AH521" s="240"/>
      <c r="AI521" s="240"/>
      <c r="AJ521" s="240"/>
      <c r="AK521" s="308"/>
      <c r="AL521" s="244"/>
      <c r="AM521" s="236"/>
      <c r="AN521" s="378"/>
    </row>
    <row r="522" spans="1:40" s="506" customFormat="1" ht="19.5" customHeight="1">
      <c r="A522" s="263"/>
      <c r="B522" s="478" t="s">
        <v>348</v>
      </c>
      <c r="C522" s="502" t="s">
        <v>1273</v>
      </c>
      <c r="D522" s="502"/>
      <c r="E522" s="503"/>
      <c r="F522" s="504">
        <v>52000</v>
      </c>
      <c r="G522" s="504">
        <v>32194.586</v>
      </c>
      <c r="H522" s="504">
        <v>32194.586</v>
      </c>
      <c r="I522" s="237">
        <f>SUM(K522,M522)</f>
        <v>10300</v>
      </c>
      <c r="J522" s="237"/>
      <c r="K522" s="237">
        <v>10300</v>
      </c>
      <c r="L522" s="237"/>
      <c r="M522" s="237"/>
      <c r="N522" s="239">
        <f>SUM(P522,U522)</f>
        <v>5459.486</v>
      </c>
      <c r="O522" s="239"/>
      <c r="P522" s="239">
        <f t="shared" si="261"/>
        <v>5459.486</v>
      </c>
      <c r="Q522" s="505">
        <v>5459.486</v>
      </c>
      <c r="R522" s="307"/>
      <c r="S522" s="307"/>
      <c r="T522" s="307"/>
      <c r="U522" s="306"/>
      <c r="V522" s="240"/>
      <c r="W522" s="240"/>
      <c r="X522" s="240"/>
      <c r="Y522" s="240"/>
      <c r="Z522" s="308"/>
      <c r="AA522" s="308"/>
      <c r="AB522" s="241"/>
      <c r="AC522" s="242"/>
      <c r="AD522" s="259"/>
      <c r="AE522" s="308"/>
      <c r="AF522" s="308"/>
      <c r="AG522" s="240"/>
      <c r="AH522" s="240"/>
      <c r="AI522" s="240"/>
      <c r="AJ522" s="240"/>
      <c r="AK522" s="308"/>
      <c r="AL522" s="244"/>
      <c r="AM522" s="236"/>
      <c r="AN522" s="378"/>
    </row>
    <row r="523" spans="1:40" s="506" customFormat="1" ht="19.5" customHeight="1">
      <c r="A523" s="263"/>
      <c r="B523" s="478" t="s">
        <v>349</v>
      </c>
      <c r="C523" s="502" t="s">
        <v>1273</v>
      </c>
      <c r="D523" s="502" t="s">
        <v>1356</v>
      </c>
      <c r="E523" s="503"/>
      <c r="F523" s="504">
        <v>1750</v>
      </c>
      <c r="G523" s="504">
        <v>2032.436838032</v>
      </c>
      <c r="H523" s="504">
        <v>0</v>
      </c>
      <c r="I523" s="237">
        <f>SUM(K523,M523)</f>
        <v>1200</v>
      </c>
      <c r="J523" s="237"/>
      <c r="K523" s="237">
        <v>1200</v>
      </c>
      <c r="L523" s="237"/>
      <c r="M523" s="237"/>
      <c r="N523" s="239">
        <f>SUM(P523,U523)</f>
        <v>1161.968</v>
      </c>
      <c r="O523" s="239"/>
      <c r="P523" s="239">
        <f t="shared" si="261"/>
        <v>1161.968</v>
      </c>
      <c r="Q523" s="505">
        <v>1161.968</v>
      </c>
      <c r="R523" s="307"/>
      <c r="S523" s="307"/>
      <c r="T523" s="307"/>
      <c r="U523" s="306"/>
      <c r="V523" s="240"/>
      <c r="W523" s="240"/>
      <c r="X523" s="240"/>
      <c r="Y523" s="240"/>
      <c r="Z523" s="308"/>
      <c r="AA523" s="308"/>
      <c r="AB523" s="241"/>
      <c r="AC523" s="242"/>
      <c r="AD523" s="259"/>
      <c r="AE523" s="308"/>
      <c r="AF523" s="308"/>
      <c r="AG523" s="240"/>
      <c r="AH523" s="240"/>
      <c r="AI523" s="240"/>
      <c r="AJ523" s="240"/>
      <c r="AK523" s="308"/>
      <c r="AL523" s="244"/>
      <c r="AM523" s="236"/>
      <c r="AN523" s="378"/>
    </row>
    <row r="524" spans="1:148" s="501" customFormat="1" ht="19.5" customHeight="1">
      <c r="A524" s="216">
        <v>24</v>
      </c>
      <c r="B524" s="217" t="s">
        <v>350</v>
      </c>
      <c r="C524" s="218"/>
      <c r="D524" s="456"/>
      <c r="E524" s="219"/>
      <c r="F524" s="221"/>
      <c r="G524" s="221"/>
      <c r="H524" s="221"/>
      <c r="I524" s="222">
        <f>SUM(I525:I525)</f>
        <v>600</v>
      </c>
      <c r="J524" s="223"/>
      <c r="K524" s="222">
        <f>SUM(K525:K525)</f>
        <v>600</v>
      </c>
      <c r="L524" s="222">
        <f>SUM(L525:L525)</f>
        <v>0</v>
      </c>
      <c r="M524" s="223"/>
      <c r="N524" s="222">
        <f>SUM(N525:N525)</f>
        <v>600</v>
      </c>
      <c r="O524" s="222">
        <f aca="true" t="shared" si="264" ref="O524:T524">SUM(O525:O525)</f>
        <v>0</v>
      </c>
      <c r="P524" s="222">
        <f t="shared" si="264"/>
        <v>600</v>
      </c>
      <c r="Q524" s="222">
        <f t="shared" si="264"/>
        <v>600</v>
      </c>
      <c r="R524" s="222">
        <f t="shared" si="264"/>
        <v>0</v>
      </c>
      <c r="S524" s="222">
        <f t="shared" si="264"/>
        <v>0</v>
      </c>
      <c r="T524" s="222">
        <f t="shared" si="264"/>
        <v>0</v>
      </c>
      <c r="U524" s="223"/>
      <c r="V524" s="223">
        <f>SUM(V525)</f>
        <v>0</v>
      </c>
      <c r="W524" s="223">
        <f>SUM(W525)</f>
        <v>0</v>
      </c>
      <c r="X524" s="223">
        <f>SUM(X525)</f>
        <v>0</v>
      </c>
      <c r="Y524" s="223">
        <f>SUM(Y525)</f>
        <v>0</v>
      </c>
      <c r="Z524" s="223">
        <f aca="true" t="shared" si="265" ref="Z524:AM524">SUM(Z525)</f>
        <v>0</v>
      </c>
      <c r="AA524" s="223">
        <f t="shared" si="265"/>
        <v>0</v>
      </c>
      <c r="AB524" s="223">
        <f t="shared" si="265"/>
        <v>0</v>
      </c>
      <c r="AC524" s="223">
        <f t="shared" si="265"/>
        <v>0</v>
      </c>
      <c r="AD524" s="223">
        <f t="shared" si="265"/>
        <v>0</v>
      </c>
      <c r="AE524" s="223">
        <f t="shared" si="265"/>
        <v>0</v>
      </c>
      <c r="AF524" s="223">
        <f t="shared" si="265"/>
        <v>0</v>
      </c>
      <c r="AG524" s="223">
        <f t="shared" si="265"/>
        <v>0</v>
      </c>
      <c r="AH524" s="223">
        <f t="shared" si="265"/>
        <v>0</v>
      </c>
      <c r="AI524" s="223">
        <f t="shared" si="265"/>
        <v>0</v>
      </c>
      <c r="AJ524" s="223">
        <f t="shared" si="265"/>
        <v>0</v>
      </c>
      <c r="AK524" s="223">
        <f t="shared" si="265"/>
        <v>0</v>
      </c>
      <c r="AL524" s="223">
        <f t="shared" si="265"/>
        <v>0</v>
      </c>
      <c r="AM524" s="223">
        <f t="shared" si="265"/>
        <v>0</v>
      </c>
      <c r="AN524" s="196"/>
      <c r="AO524" s="196"/>
      <c r="AP524" s="196"/>
      <c r="AQ524" s="196"/>
      <c r="AR524" s="196"/>
      <c r="AS524" s="196"/>
      <c r="AT524" s="196"/>
      <c r="AU524" s="196"/>
      <c r="AV524" s="196"/>
      <c r="AW524" s="196"/>
      <c r="AX524" s="196"/>
      <c r="AY524" s="196"/>
      <c r="AZ524" s="196"/>
      <c r="BA524" s="196"/>
      <c r="BB524" s="196"/>
      <c r="BC524" s="196"/>
      <c r="BD524" s="196"/>
      <c r="BE524" s="196"/>
      <c r="BF524" s="196"/>
      <c r="BG524" s="196"/>
      <c r="BH524" s="196"/>
      <c r="BI524" s="196"/>
      <c r="BJ524" s="196"/>
      <c r="BK524" s="196"/>
      <c r="BL524" s="196"/>
      <c r="BM524" s="196"/>
      <c r="BN524" s="196"/>
      <c r="BO524" s="196"/>
      <c r="BP524" s="196"/>
      <c r="BQ524" s="196"/>
      <c r="BR524" s="196"/>
      <c r="BS524" s="196"/>
      <c r="BT524" s="196"/>
      <c r="BU524" s="196"/>
      <c r="BV524" s="196"/>
      <c r="BW524" s="196"/>
      <c r="BX524" s="196"/>
      <c r="BY524" s="196"/>
      <c r="BZ524" s="196"/>
      <c r="CA524" s="196"/>
      <c r="CB524" s="196"/>
      <c r="CC524" s="196"/>
      <c r="CD524" s="196"/>
      <c r="CE524" s="196"/>
      <c r="CF524" s="196"/>
      <c r="CG524" s="196"/>
      <c r="CH524" s="196"/>
      <c r="CI524" s="196"/>
      <c r="CJ524" s="196"/>
      <c r="CK524" s="196"/>
      <c r="CL524" s="196"/>
      <c r="CM524" s="196"/>
      <c r="CN524" s="196"/>
      <c r="CO524" s="196"/>
      <c r="CP524" s="196"/>
      <c r="CQ524" s="196"/>
      <c r="CR524" s="196"/>
      <c r="CS524" s="196"/>
      <c r="CT524" s="196"/>
      <c r="CU524" s="196"/>
      <c r="CV524" s="196"/>
      <c r="CW524" s="196"/>
      <c r="CX524" s="196"/>
      <c r="CY524" s="196"/>
      <c r="CZ524" s="196"/>
      <c r="DA524" s="196"/>
      <c r="DB524" s="196"/>
      <c r="DC524" s="196"/>
      <c r="DD524" s="196"/>
      <c r="DE524" s="196"/>
      <c r="DF524" s="196"/>
      <c r="DG524" s="196"/>
      <c r="DH524" s="196"/>
      <c r="DI524" s="196"/>
      <c r="DJ524" s="196"/>
      <c r="DK524" s="196"/>
      <c r="DL524" s="196"/>
      <c r="DM524" s="196"/>
      <c r="DN524" s="196"/>
      <c r="DO524" s="196"/>
      <c r="DP524" s="196"/>
      <c r="DQ524" s="196"/>
      <c r="DR524" s="196"/>
      <c r="DS524" s="196"/>
      <c r="DT524" s="196"/>
      <c r="DU524" s="196"/>
      <c r="DV524" s="196"/>
      <c r="DW524" s="196"/>
      <c r="DX524" s="196"/>
      <c r="DY524" s="196"/>
      <c r="DZ524" s="196"/>
      <c r="EA524" s="196"/>
      <c r="EB524" s="196"/>
      <c r="EC524" s="196"/>
      <c r="ED524" s="196"/>
      <c r="EE524" s="196"/>
      <c r="EF524" s="196"/>
      <c r="EG524" s="196"/>
      <c r="EH524" s="196"/>
      <c r="EI524" s="196"/>
      <c r="EJ524" s="196"/>
      <c r="EK524" s="196"/>
      <c r="EL524" s="196"/>
      <c r="EM524" s="196"/>
      <c r="EN524" s="196"/>
      <c r="EO524" s="196"/>
      <c r="EP524" s="196"/>
      <c r="EQ524" s="196"/>
      <c r="ER524" s="196"/>
    </row>
    <row r="525" spans="1:40" s="506" customFormat="1" ht="19.5" customHeight="1">
      <c r="A525" s="263"/>
      <c r="B525" s="478" t="s">
        <v>347</v>
      </c>
      <c r="C525" s="502"/>
      <c r="D525" s="502"/>
      <c r="E525" s="503"/>
      <c r="F525" s="504">
        <v>52000</v>
      </c>
      <c r="G525" s="504">
        <v>32194.586</v>
      </c>
      <c r="H525" s="504">
        <v>32194.586</v>
      </c>
      <c r="I525" s="237">
        <f>SUM(K525,M525)</f>
        <v>600</v>
      </c>
      <c r="J525" s="237">
        <v>600</v>
      </c>
      <c r="K525" s="237">
        <v>600</v>
      </c>
      <c r="L525" s="237"/>
      <c r="M525" s="237"/>
      <c r="N525" s="239">
        <f>SUM(P525,U525)</f>
        <v>600</v>
      </c>
      <c r="O525" s="239"/>
      <c r="P525" s="239">
        <f t="shared" si="261"/>
        <v>600</v>
      </c>
      <c r="Q525" s="505">
        <v>600</v>
      </c>
      <c r="R525" s="307"/>
      <c r="S525" s="307"/>
      <c r="T525" s="307"/>
      <c r="U525" s="306"/>
      <c r="V525" s="240"/>
      <c r="W525" s="240"/>
      <c r="X525" s="240"/>
      <c r="Y525" s="240"/>
      <c r="Z525" s="308"/>
      <c r="AA525" s="308"/>
      <c r="AB525" s="241"/>
      <c r="AC525" s="242"/>
      <c r="AD525" s="259"/>
      <c r="AE525" s="308"/>
      <c r="AF525" s="308"/>
      <c r="AG525" s="240"/>
      <c r="AH525" s="240"/>
      <c r="AI525" s="240"/>
      <c r="AJ525" s="240"/>
      <c r="AK525" s="308"/>
      <c r="AL525" s="244"/>
      <c r="AM525" s="236"/>
      <c r="AN525" s="378"/>
    </row>
    <row r="526" spans="1:148" s="501" customFormat="1" ht="19.5" customHeight="1">
      <c r="A526" s="216">
        <v>25</v>
      </c>
      <c r="B526" s="217" t="s">
        <v>351</v>
      </c>
      <c r="C526" s="218"/>
      <c r="D526" s="456"/>
      <c r="E526" s="219"/>
      <c r="F526" s="221"/>
      <c r="G526" s="221"/>
      <c r="H526" s="221"/>
      <c r="I526" s="222">
        <f>SUM(I527:I534)</f>
        <v>8799</v>
      </c>
      <c r="J526" s="222"/>
      <c r="K526" s="222"/>
      <c r="L526" s="222">
        <f aca="true" t="shared" si="266" ref="L526:U526">SUM(L527:L534)</f>
        <v>0</v>
      </c>
      <c r="M526" s="222">
        <f t="shared" si="266"/>
        <v>8799</v>
      </c>
      <c r="N526" s="222">
        <f t="shared" si="266"/>
        <v>8202.658</v>
      </c>
      <c r="O526" s="222">
        <f t="shared" si="266"/>
        <v>0</v>
      </c>
      <c r="P526" s="222">
        <f t="shared" si="266"/>
        <v>0</v>
      </c>
      <c r="Q526" s="222">
        <f t="shared" si="266"/>
        <v>0</v>
      </c>
      <c r="R526" s="222">
        <f t="shared" si="266"/>
        <v>0</v>
      </c>
      <c r="S526" s="222">
        <f t="shared" si="266"/>
        <v>0</v>
      </c>
      <c r="T526" s="222">
        <f t="shared" si="266"/>
        <v>0</v>
      </c>
      <c r="U526" s="222">
        <f t="shared" si="266"/>
        <v>8202.658</v>
      </c>
      <c r="V526" s="223">
        <f>SUM(V527)</f>
        <v>0</v>
      </c>
      <c r="W526" s="223">
        <f>SUM(W527)</f>
        <v>0</v>
      </c>
      <c r="X526" s="223">
        <f>SUM(X527)</f>
        <v>0</v>
      </c>
      <c r="Y526" s="223">
        <f>SUM(Y527)</f>
        <v>0</v>
      </c>
      <c r="Z526" s="223">
        <f aca="true" t="shared" si="267" ref="Z526:AM526">SUM(Z527)</f>
        <v>0</v>
      </c>
      <c r="AA526" s="223">
        <f t="shared" si="267"/>
        <v>0</v>
      </c>
      <c r="AB526" s="223">
        <f t="shared" si="267"/>
        <v>0</v>
      </c>
      <c r="AC526" s="223">
        <f t="shared" si="267"/>
        <v>0</v>
      </c>
      <c r="AD526" s="223">
        <f t="shared" si="267"/>
        <v>0</v>
      </c>
      <c r="AE526" s="223">
        <f t="shared" si="267"/>
        <v>0</v>
      </c>
      <c r="AF526" s="223">
        <f t="shared" si="267"/>
        <v>0</v>
      </c>
      <c r="AG526" s="223">
        <f t="shared" si="267"/>
        <v>0</v>
      </c>
      <c r="AH526" s="223">
        <f t="shared" si="267"/>
        <v>0</v>
      </c>
      <c r="AI526" s="223">
        <f t="shared" si="267"/>
        <v>0</v>
      </c>
      <c r="AJ526" s="223">
        <f t="shared" si="267"/>
        <v>0</v>
      </c>
      <c r="AK526" s="223">
        <f t="shared" si="267"/>
        <v>0</v>
      </c>
      <c r="AL526" s="223">
        <f t="shared" si="267"/>
        <v>0</v>
      </c>
      <c r="AM526" s="223">
        <f t="shared" si="267"/>
        <v>0</v>
      </c>
      <c r="AN526" s="196"/>
      <c r="AO526" s="196"/>
      <c r="AP526" s="196"/>
      <c r="AQ526" s="196"/>
      <c r="AR526" s="196"/>
      <c r="AS526" s="196"/>
      <c r="AT526" s="196"/>
      <c r="AU526" s="196"/>
      <c r="AV526" s="196"/>
      <c r="AW526" s="196"/>
      <c r="AX526" s="196"/>
      <c r="AY526" s="196"/>
      <c r="AZ526" s="196"/>
      <c r="BA526" s="196"/>
      <c r="BB526" s="196"/>
      <c r="BC526" s="196"/>
      <c r="BD526" s="196"/>
      <c r="BE526" s="196"/>
      <c r="BF526" s="196"/>
      <c r="BG526" s="196"/>
      <c r="BH526" s="196"/>
      <c r="BI526" s="196"/>
      <c r="BJ526" s="196"/>
      <c r="BK526" s="196"/>
      <c r="BL526" s="196"/>
      <c r="BM526" s="196"/>
      <c r="BN526" s="196"/>
      <c r="BO526" s="196"/>
      <c r="BP526" s="196"/>
      <c r="BQ526" s="196"/>
      <c r="BR526" s="196"/>
      <c r="BS526" s="196"/>
      <c r="BT526" s="196"/>
      <c r="BU526" s="196"/>
      <c r="BV526" s="196"/>
      <c r="BW526" s="196"/>
      <c r="BX526" s="196"/>
      <c r="BY526" s="196"/>
      <c r="BZ526" s="196"/>
      <c r="CA526" s="196"/>
      <c r="CB526" s="196"/>
      <c r="CC526" s="196"/>
      <c r="CD526" s="196"/>
      <c r="CE526" s="196"/>
      <c r="CF526" s="196"/>
      <c r="CG526" s="196"/>
      <c r="CH526" s="196"/>
      <c r="CI526" s="196"/>
      <c r="CJ526" s="196"/>
      <c r="CK526" s="196"/>
      <c r="CL526" s="196"/>
      <c r="CM526" s="196"/>
      <c r="CN526" s="196"/>
      <c r="CO526" s="196"/>
      <c r="CP526" s="196"/>
      <c r="CQ526" s="196"/>
      <c r="CR526" s="196"/>
      <c r="CS526" s="196"/>
      <c r="CT526" s="196"/>
      <c r="CU526" s="196"/>
      <c r="CV526" s="196"/>
      <c r="CW526" s="196"/>
      <c r="CX526" s="196"/>
      <c r="CY526" s="196"/>
      <c r="CZ526" s="196"/>
      <c r="DA526" s="196"/>
      <c r="DB526" s="196"/>
      <c r="DC526" s="196"/>
      <c r="DD526" s="196"/>
      <c r="DE526" s="196"/>
      <c r="DF526" s="196"/>
      <c r="DG526" s="196"/>
      <c r="DH526" s="196"/>
      <c r="DI526" s="196"/>
      <c r="DJ526" s="196"/>
      <c r="DK526" s="196"/>
      <c r="DL526" s="196"/>
      <c r="DM526" s="196"/>
      <c r="DN526" s="196"/>
      <c r="DO526" s="196"/>
      <c r="DP526" s="196"/>
      <c r="DQ526" s="196"/>
      <c r="DR526" s="196"/>
      <c r="DS526" s="196"/>
      <c r="DT526" s="196"/>
      <c r="DU526" s="196"/>
      <c r="DV526" s="196"/>
      <c r="DW526" s="196"/>
      <c r="DX526" s="196"/>
      <c r="DY526" s="196"/>
      <c r="DZ526" s="196"/>
      <c r="EA526" s="196"/>
      <c r="EB526" s="196"/>
      <c r="EC526" s="196"/>
      <c r="ED526" s="196"/>
      <c r="EE526" s="196"/>
      <c r="EF526" s="196"/>
      <c r="EG526" s="196"/>
      <c r="EH526" s="196"/>
      <c r="EI526" s="196"/>
      <c r="EJ526" s="196"/>
      <c r="EK526" s="196"/>
      <c r="EL526" s="196"/>
      <c r="EM526" s="196"/>
      <c r="EN526" s="196"/>
      <c r="EO526" s="196"/>
      <c r="EP526" s="196"/>
      <c r="EQ526" s="196"/>
      <c r="ER526" s="196"/>
    </row>
    <row r="527" spans="1:40" s="506" customFormat="1" ht="27.75" customHeight="1">
      <c r="A527" s="263"/>
      <c r="B527" s="478" t="s">
        <v>352</v>
      </c>
      <c r="C527" s="502" t="s">
        <v>1273</v>
      </c>
      <c r="D527" s="502"/>
      <c r="E527" s="503"/>
      <c r="F527" s="504"/>
      <c r="G527" s="504"/>
      <c r="H527" s="504"/>
      <c r="I527" s="237">
        <v>3253.4</v>
      </c>
      <c r="J527" s="237"/>
      <c r="K527" s="237"/>
      <c r="L527" s="237"/>
      <c r="M527" s="237">
        <v>3253.4</v>
      </c>
      <c r="N527" s="239">
        <f>SUM(P527,U527)</f>
        <v>2632.044</v>
      </c>
      <c r="O527" s="239"/>
      <c r="P527" s="239"/>
      <c r="Q527" s="505"/>
      <c r="R527" s="307"/>
      <c r="S527" s="307"/>
      <c r="T527" s="307"/>
      <c r="U527" s="507">
        <v>2632.044</v>
      </c>
      <c r="V527" s="240"/>
      <c r="W527" s="240"/>
      <c r="X527" s="240"/>
      <c r="Y527" s="240"/>
      <c r="Z527" s="308"/>
      <c r="AA527" s="308"/>
      <c r="AB527" s="241"/>
      <c r="AC527" s="242"/>
      <c r="AD527" s="259"/>
      <c r="AE527" s="308"/>
      <c r="AF527" s="308"/>
      <c r="AG527" s="240"/>
      <c r="AH527" s="240"/>
      <c r="AI527" s="240"/>
      <c r="AJ527" s="240"/>
      <c r="AK527" s="308"/>
      <c r="AL527" s="244"/>
      <c r="AM527" s="236"/>
      <c r="AN527" s="378"/>
    </row>
    <row r="528" spans="1:40" s="506" customFormat="1" ht="19.5" customHeight="1">
      <c r="A528" s="263"/>
      <c r="B528" s="478" t="s">
        <v>353</v>
      </c>
      <c r="C528" s="502" t="s">
        <v>354</v>
      </c>
      <c r="D528" s="502" t="s">
        <v>1497</v>
      </c>
      <c r="E528" s="503"/>
      <c r="F528" s="504">
        <v>2550</v>
      </c>
      <c r="G528" s="504">
        <v>2192.003</v>
      </c>
      <c r="H528" s="504">
        <v>1769</v>
      </c>
      <c r="I528" s="237">
        <v>299</v>
      </c>
      <c r="J528" s="237"/>
      <c r="K528" s="237"/>
      <c r="L528" s="237"/>
      <c r="M528" s="237">
        <v>299</v>
      </c>
      <c r="N528" s="239">
        <f aca="true" t="shared" si="268" ref="N528:N534">SUM(P528,U528)</f>
        <v>298.969</v>
      </c>
      <c r="O528" s="239"/>
      <c r="P528" s="239"/>
      <c r="Q528" s="505"/>
      <c r="R528" s="307"/>
      <c r="S528" s="307"/>
      <c r="T528" s="307"/>
      <c r="U528" s="505">
        <v>298.969</v>
      </c>
      <c r="V528" s="240"/>
      <c r="W528" s="240"/>
      <c r="X528" s="240"/>
      <c r="Y528" s="240"/>
      <c r="Z528" s="308"/>
      <c r="AA528" s="308"/>
      <c r="AB528" s="241"/>
      <c r="AC528" s="242"/>
      <c r="AD528" s="259"/>
      <c r="AE528" s="308"/>
      <c r="AF528" s="308"/>
      <c r="AG528" s="240"/>
      <c r="AH528" s="240"/>
      <c r="AI528" s="240"/>
      <c r="AJ528" s="240"/>
      <c r="AK528" s="308"/>
      <c r="AL528" s="244"/>
      <c r="AM528" s="236"/>
      <c r="AN528" s="378"/>
    </row>
    <row r="529" spans="1:40" s="506" customFormat="1" ht="29.25" customHeight="1">
      <c r="A529" s="263"/>
      <c r="B529" s="478" t="s">
        <v>355</v>
      </c>
      <c r="C529" s="502" t="s">
        <v>1355</v>
      </c>
      <c r="D529" s="502"/>
      <c r="E529" s="503"/>
      <c r="F529" s="504"/>
      <c r="G529" s="504"/>
      <c r="H529" s="504"/>
      <c r="I529" s="237">
        <v>1382.3</v>
      </c>
      <c r="J529" s="237"/>
      <c r="K529" s="237"/>
      <c r="L529" s="237"/>
      <c r="M529" s="237">
        <v>1382.3</v>
      </c>
      <c r="N529" s="239">
        <f t="shared" si="268"/>
        <v>1381.307</v>
      </c>
      <c r="O529" s="239"/>
      <c r="P529" s="239"/>
      <c r="Q529" s="505"/>
      <c r="R529" s="307"/>
      <c r="S529" s="307"/>
      <c r="T529" s="307"/>
      <c r="U529" s="505">
        <v>1381.307</v>
      </c>
      <c r="V529" s="240"/>
      <c r="W529" s="240"/>
      <c r="X529" s="240"/>
      <c r="Y529" s="240"/>
      <c r="Z529" s="308"/>
      <c r="AA529" s="308"/>
      <c r="AB529" s="241"/>
      <c r="AC529" s="242"/>
      <c r="AD529" s="259"/>
      <c r="AE529" s="308"/>
      <c r="AF529" s="308"/>
      <c r="AG529" s="240"/>
      <c r="AH529" s="240"/>
      <c r="AI529" s="240"/>
      <c r="AJ529" s="240"/>
      <c r="AK529" s="308"/>
      <c r="AL529" s="244"/>
      <c r="AM529" s="236"/>
      <c r="AN529" s="378"/>
    </row>
    <row r="530" spans="1:40" s="506" customFormat="1" ht="19.5" customHeight="1">
      <c r="A530" s="263"/>
      <c r="B530" s="478" t="s">
        <v>356</v>
      </c>
      <c r="C530" s="502" t="s">
        <v>1355</v>
      </c>
      <c r="D530" s="502"/>
      <c r="E530" s="503"/>
      <c r="F530" s="504"/>
      <c r="G530" s="504"/>
      <c r="H530" s="504"/>
      <c r="I530" s="237">
        <v>1194</v>
      </c>
      <c r="J530" s="237"/>
      <c r="K530" s="237"/>
      <c r="L530" s="237"/>
      <c r="M530" s="237">
        <v>1194</v>
      </c>
      <c r="N530" s="239">
        <f t="shared" si="268"/>
        <v>1190.698</v>
      </c>
      <c r="O530" s="239"/>
      <c r="P530" s="239"/>
      <c r="Q530" s="505"/>
      <c r="R530" s="307"/>
      <c r="S530" s="307"/>
      <c r="T530" s="307"/>
      <c r="U530" s="505">
        <v>1190.698</v>
      </c>
      <c r="V530" s="240"/>
      <c r="W530" s="240"/>
      <c r="X530" s="240"/>
      <c r="Y530" s="240"/>
      <c r="Z530" s="308"/>
      <c r="AA530" s="308"/>
      <c r="AB530" s="241"/>
      <c r="AC530" s="242"/>
      <c r="AD530" s="259"/>
      <c r="AE530" s="308"/>
      <c r="AF530" s="308"/>
      <c r="AG530" s="240"/>
      <c r="AH530" s="240"/>
      <c r="AI530" s="240"/>
      <c r="AJ530" s="240"/>
      <c r="AK530" s="308"/>
      <c r="AL530" s="244"/>
      <c r="AM530" s="236"/>
      <c r="AN530" s="378"/>
    </row>
    <row r="531" spans="1:40" s="506" customFormat="1" ht="19.5" customHeight="1">
      <c r="A531" s="263"/>
      <c r="B531" s="478" t="s">
        <v>357</v>
      </c>
      <c r="C531" s="502" t="s">
        <v>1624</v>
      </c>
      <c r="D531" s="502"/>
      <c r="E531" s="503"/>
      <c r="F531" s="504"/>
      <c r="G531" s="504"/>
      <c r="H531" s="504"/>
      <c r="I531" s="237"/>
      <c r="J531" s="237"/>
      <c r="K531" s="237"/>
      <c r="L531" s="237"/>
      <c r="M531" s="237"/>
      <c r="N531" s="239">
        <f t="shared" si="268"/>
        <v>30</v>
      </c>
      <c r="O531" s="239"/>
      <c r="P531" s="239"/>
      <c r="Q531" s="505"/>
      <c r="R531" s="307"/>
      <c r="S531" s="307"/>
      <c r="T531" s="307"/>
      <c r="U531" s="505">
        <v>30</v>
      </c>
      <c r="V531" s="240"/>
      <c r="W531" s="240"/>
      <c r="X531" s="240"/>
      <c r="Y531" s="240"/>
      <c r="Z531" s="308"/>
      <c r="AA531" s="308"/>
      <c r="AB531" s="241"/>
      <c r="AC531" s="242"/>
      <c r="AD531" s="259"/>
      <c r="AE531" s="308"/>
      <c r="AF531" s="308"/>
      <c r="AG531" s="240"/>
      <c r="AH531" s="240"/>
      <c r="AI531" s="240"/>
      <c r="AJ531" s="240"/>
      <c r="AK531" s="308"/>
      <c r="AL531" s="244"/>
      <c r="AM531" s="236"/>
      <c r="AN531" s="378"/>
    </row>
    <row r="532" spans="1:40" s="506" customFormat="1" ht="19.5" customHeight="1">
      <c r="A532" s="263"/>
      <c r="B532" s="478" t="s">
        <v>358</v>
      </c>
      <c r="C532" s="502" t="s">
        <v>170</v>
      </c>
      <c r="D532" s="502"/>
      <c r="E532" s="503"/>
      <c r="F532" s="504">
        <v>1900</v>
      </c>
      <c r="G532" s="504"/>
      <c r="H532" s="504">
        <v>1340</v>
      </c>
      <c r="I532" s="237">
        <f>SUM(K532,M532)</f>
        <v>11</v>
      </c>
      <c r="J532" s="237"/>
      <c r="K532" s="237"/>
      <c r="L532" s="237"/>
      <c r="M532" s="237">
        <v>11</v>
      </c>
      <c r="N532" s="239">
        <f t="shared" si="268"/>
        <v>10.96</v>
      </c>
      <c r="O532" s="239"/>
      <c r="P532" s="239"/>
      <c r="Q532" s="505"/>
      <c r="R532" s="307"/>
      <c r="S532" s="307"/>
      <c r="T532" s="307"/>
      <c r="U532" s="505">
        <v>10.96</v>
      </c>
      <c r="V532" s="240"/>
      <c r="W532" s="240"/>
      <c r="X532" s="240"/>
      <c r="Y532" s="240"/>
      <c r="Z532" s="308"/>
      <c r="AA532" s="308"/>
      <c r="AB532" s="241"/>
      <c r="AC532" s="242"/>
      <c r="AD532" s="259"/>
      <c r="AE532" s="308"/>
      <c r="AF532" s="308"/>
      <c r="AG532" s="240"/>
      <c r="AH532" s="240"/>
      <c r="AI532" s="240"/>
      <c r="AJ532" s="240"/>
      <c r="AK532" s="308"/>
      <c r="AL532" s="244"/>
      <c r="AM532" s="236"/>
      <c r="AN532" s="378"/>
    </row>
    <row r="533" spans="1:40" s="506" customFormat="1" ht="19.5" customHeight="1">
      <c r="A533" s="263"/>
      <c r="B533" s="478" t="s">
        <v>359</v>
      </c>
      <c r="C533" s="502" t="s">
        <v>360</v>
      </c>
      <c r="D533" s="502"/>
      <c r="E533" s="503"/>
      <c r="F533" s="504">
        <v>3800</v>
      </c>
      <c r="G533" s="504"/>
      <c r="H533" s="458">
        <v>1935.08</v>
      </c>
      <c r="I533" s="237">
        <f>SUM(K533,M533)</f>
        <v>746.3</v>
      </c>
      <c r="J533" s="237"/>
      <c r="K533" s="237"/>
      <c r="L533" s="237"/>
      <c r="M533" s="237">
        <v>746.3</v>
      </c>
      <c r="N533" s="239">
        <f t="shared" si="268"/>
        <v>746.27</v>
      </c>
      <c r="O533" s="239"/>
      <c r="P533" s="239"/>
      <c r="Q533" s="505"/>
      <c r="R533" s="307"/>
      <c r="S533" s="307"/>
      <c r="T533" s="307"/>
      <c r="U533" s="505">
        <v>746.27</v>
      </c>
      <c r="V533" s="240"/>
      <c r="W533" s="240"/>
      <c r="X533" s="240"/>
      <c r="Y533" s="240"/>
      <c r="Z533" s="308"/>
      <c r="AA533" s="308"/>
      <c r="AB533" s="241"/>
      <c r="AC533" s="242"/>
      <c r="AD533" s="259"/>
      <c r="AE533" s="308"/>
      <c r="AF533" s="308"/>
      <c r="AG533" s="240"/>
      <c r="AH533" s="240"/>
      <c r="AI533" s="240"/>
      <c r="AJ533" s="240"/>
      <c r="AK533" s="308"/>
      <c r="AL533" s="244"/>
      <c r="AM533" s="236"/>
      <c r="AN533" s="378"/>
    </row>
    <row r="534" spans="1:40" s="506" customFormat="1" ht="19.5" customHeight="1">
      <c r="A534" s="263"/>
      <c r="B534" s="478" t="s">
        <v>361</v>
      </c>
      <c r="C534" s="502" t="s">
        <v>1267</v>
      </c>
      <c r="D534" s="502"/>
      <c r="E534" s="503"/>
      <c r="F534" s="504">
        <v>2300</v>
      </c>
      <c r="G534" s="504"/>
      <c r="H534" s="504"/>
      <c r="I534" s="237">
        <f>SUM(K534,M534)</f>
        <v>1913</v>
      </c>
      <c r="J534" s="237"/>
      <c r="K534" s="237"/>
      <c r="L534" s="237"/>
      <c r="M534" s="237">
        <v>1913</v>
      </c>
      <c r="N534" s="239">
        <f t="shared" si="268"/>
        <v>1912.41</v>
      </c>
      <c r="O534" s="239"/>
      <c r="P534" s="239"/>
      <c r="Q534" s="505"/>
      <c r="R534" s="307"/>
      <c r="S534" s="307"/>
      <c r="T534" s="307"/>
      <c r="U534" s="505">
        <v>1912.41</v>
      </c>
      <c r="V534" s="240"/>
      <c r="W534" s="240"/>
      <c r="X534" s="240"/>
      <c r="Y534" s="240"/>
      <c r="Z534" s="308"/>
      <c r="AA534" s="308"/>
      <c r="AB534" s="241"/>
      <c r="AC534" s="242"/>
      <c r="AD534" s="259"/>
      <c r="AE534" s="308"/>
      <c r="AF534" s="308"/>
      <c r="AG534" s="240"/>
      <c r="AH534" s="240"/>
      <c r="AI534" s="240"/>
      <c r="AJ534" s="240"/>
      <c r="AK534" s="308"/>
      <c r="AL534" s="244"/>
      <c r="AM534" s="236"/>
      <c r="AN534" s="378"/>
    </row>
    <row r="535" spans="1:40" s="506" customFormat="1" ht="19.5" customHeight="1">
      <c r="A535" s="275">
        <v>26</v>
      </c>
      <c r="B535" s="498" t="s">
        <v>362</v>
      </c>
      <c r="C535" s="508"/>
      <c r="D535" s="508"/>
      <c r="E535" s="509"/>
      <c r="F535" s="510"/>
      <c r="G535" s="510"/>
      <c r="H535" s="510"/>
      <c r="I535" s="282"/>
      <c r="J535" s="282"/>
      <c r="K535" s="282"/>
      <c r="L535" s="282"/>
      <c r="M535" s="282"/>
      <c r="N535" s="296">
        <f>SUM(N536:N539)</f>
        <v>186.45000000000002</v>
      </c>
      <c r="O535" s="296">
        <f aca="true" t="shared" si="269" ref="O535:U535">SUM(O536:O539)</f>
        <v>0</v>
      </c>
      <c r="P535" s="296">
        <f t="shared" si="269"/>
        <v>186.45000000000002</v>
      </c>
      <c r="Q535" s="296">
        <f t="shared" si="269"/>
        <v>0</v>
      </c>
      <c r="R535" s="296">
        <f t="shared" si="269"/>
        <v>186.45000000000002</v>
      </c>
      <c r="S535" s="296">
        <f t="shared" si="269"/>
        <v>0</v>
      </c>
      <c r="T535" s="296">
        <f t="shared" si="269"/>
        <v>0</v>
      </c>
      <c r="U535" s="296">
        <f t="shared" si="269"/>
        <v>0</v>
      </c>
      <c r="V535" s="240"/>
      <c r="W535" s="240"/>
      <c r="X535" s="240"/>
      <c r="Y535" s="240"/>
      <c r="Z535" s="308"/>
      <c r="AA535" s="308"/>
      <c r="AB535" s="241"/>
      <c r="AC535" s="242"/>
      <c r="AD535" s="259"/>
      <c r="AE535" s="308"/>
      <c r="AF535" s="308"/>
      <c r="AG535" s="240"/>
      <c r="AH535" s="240"/>
      <c r="AI535" s="240"/>
      <c r="AJ535" s="240"/>
      <c r="AK535" s="308"/>
      <c r="AL535" s="244"/>
      <c r="AM535" s="236"/>
      <c r="AN535" s="378"/>
    </row>
    <row r="536" spans="1:40" s="506" customFormat="1" ht="19.5" customHeight="1">
      <c r="A536" s="263"/>
      <c r="B536" s="478" t="s">
        <v>363</v>
      </c>
      <c r="C536" s="502" t="s">
        <v>360</v>
      </c>
      <c r="D536" s="502"/>
      <c r="E536" s="503"/>
      <c r="F536" s="504"/>
      <c r="G536" s="504"/>
      <c r="H536" s="504"/>
      <c r="I536" s="237"/>
      <c r="J536" s="237"/>
      <c r="K536" s="237"/>
      <c r="L536" s="237"/>
      <c r="M536" s="237"/>
      <c r="N536" s="239">
        <f aca="true" t="shared" si="270" ref="N536:N542">SUM(P536,U536)</f>
        <v>93.55</v>
      </c>
      <c r="O536" s="239"/>
      <c r="P536" s="239">
        <f>SUM(Q536:S536)</f>
        <v>93.55</v>
      </c>
      <c r="Q536" s="505"/>
      <c r="R536" s="307">
        <v>93.55</v>
      </c>
      <c r="S536" s="307"/>
      <c r="T536" s="307"/>
      <c r="U536" s="505"/>
      <c r="V536" s="240"/>
      <c r="W536" s="240"/>
      <c r="X536" s="240"/>
      <c r="Y536" s="240"/>
      <c r="Z536" s="308"/>
      <c r="AA536" s="308"/>
      <c r="AB536" s="241"/>
      <c r="AC536" s="242"/>
      <c r="AD536" s="259"/>
      <c r="AE536" s="308"/>
      <c r="AF536" s="308"/>
      <c r="AG536" s="240"/>
      <c r="AH536" s="240"/>
      <c r="AI536" s="240"/>
      <c r="AJ536" s="240"/>
      <c r="AK536" s="308"/>
      <c r="AL536" s="244"/>
      <c r="AM536" s="236"/>
      <c r="AN536" s="378"/>
    </row>
    <row r="537" spans="1:40" s="506" customFormat="1" ht="19.5" customHeight="1">
      <c r="A537" s="263"/>
      <c r="B537" s="478" t="s">
        <v>364</v>
      </c>
      <c r="C537" s="502" t="s">
        <v>365</v>
      </c>
      <c r="D537" s="502"/>
      <c r="E537" s="503"/>
      <c r="F537" s="504"/>
      <c r="G537" s="504"/>
      <c r="H537" s="504"/>
      <c r="I537" s="237"/>
      <c r="J537" s="237"/>
      <c r="K537" s="237"/>
      <c r="L537" s="237"/>
      <c r="M537" s="237"/>
      <c r="N537" s="239">
        <f t="shared" si="270"/>
        <v>63.44</v>
      </c>
      <c r="O537" s="239"/>
      <c r="P537" s="239">
        <f>SUM(Q537:S537)</f>
        <v>63.44</v>
      </c>
      <c r="Q537" s="505"/>
      <c r="R537" s="307">
        <v>63.44</v>
      </c>
      <c r="S537" s="307"/>
      <c r="T537" s="307"/>
      <c r="U537" s="505"/>
      <c r="V537" s="240"/>
      <c r="W537" s="240"/>
      <c r="X537" s="240"/>
      <c r="Y537" s="240"/>
      <c r="Z537" s="308"/>
      <c r="AA537" s="308"/>
      <c r="AB537" s="241"/>
      <c r="AC537" s="242"/>
      <c r="AD537" s="259"/>
      <c r="AE537" s="308"/>
      <c r="AF537" s="308"/>
      <c r="AG537" s="240"/>
      <c r="AH537" s="240"/>
      <c r="AI537" s="240"/>
      <c r="AJ537" s="240"/>
      <c r="AK537" s="308"/>
      <c r="AL537" s="244"/>
      <c r="AM537" s="236"/>
      <c r="AN537" s="378"/>
    </row>
    <row r="538" spans="1:40" s="506" customFormat="1" ht="19.5" customHeight="1">
      <c r="A538" s="263"/>
      <c r="B538" s="478" t="s">
        <v>366</v>
      </c>
      <c r="C538" s="502" t="s">
        <v>1634</v>
      </c>
      <c r="D538" s="502"/>
      <c r="E538" s="503"/>
      <c r="F538" s="504"/>
      <c r="G538" s="504"/>
      <c r="H538" s="504"/>
      <c r="I538" s="237"/>
      <c r="J538" s="237"/>
      <c r="K538" s="237"/>
      <c r="L538" s="237"/>
      <c r="M538" s="237"/>
      <c r="N538" s="239">
        <f t="shared" si="270"/>
        <v>28.36</v>
      </c>
      <c r="O538" s="239"/>
      <c r="P538" s="239">
        <f>SUM(Q538:S538)</f>
        <v>28.36</v>
      </c>
      <c r="Q538" s="505"/>
      <c r="R538" s="307">
        <v>28.36</v>
      </c>
      <c r="S538" s="307"/>
      <c r="T538" s="307"/>
      <c r="U538" s="505"/>
      <c r="V538" s="240"/>
      <c r="W538" s="240"/>
      <c r="X538" s="240"/>
      <c r="Y538" s="240"/>
      <c r="Z538" s="308"/>
      <c r="AA538" s="308"/>
      <c r="AB538" s="241"/>
      <c r="AC538" s="242"/>
      <c r="AD538" s="259"/>
      <c r="AE538" s="308"/>
      <c r="AF538" s="308"/>
      <c r="AG538" s="240"/>
      <c r="AH538" s="240"/>
      <c r="AI538" s="240"/>
      <c r="AJ538" s="240"/>
      <c r="AK538" s="308"/>
      <c r="AL538" s="244"/>
      <c r="AM538" s="236"/>
      <c r="AN538" s="378"/>
    </row>
    <row r="539" spans="1:40" s="506" customFormat="1" ht="19.5" customHeight="1">
      <c r="A539" s="263"/>
      <c r="B539" s="478" t="s">
        <v>367</v>
      </c>
      <c r="C539" s="502" t="s">
        <v>345</v>
      </c>
      <c r="D539" s="502"/>
      <c r="E539" s="503"/>
      <c r="F539" s="504"/>
      <c r="G539" s="504"/>
      <c r="H539" s="504"/>
      <c r="I539" s="237"/>
      <c r="J539" s="237"/>
      <c r="K539" s="237"/>
      <c r="L539" s="237"/>
      <c r="M539" s="237"/>
      <c r="N539" s="239">
        <f t="shared" si="270"/>
        <v>1.1</v>
      </c>
      <c r="O539" s="239"/>
      <c r="P539" s="239">
        <f>SUM(Q539:S539)</f>
        <v>1.1</v>
      </c>
      <c r="Q539" s="505"/>
      <c r="R539" s="307">
        <v>1.1</v>
      </c>
      <c r="S539" s="307"/>
      <c r="T539" s="307"/>
      <c r="U539" s="505"/>
      <c r="V539" s="240"/>
      <c r="W539" s="240"/>
      <c r="X539" s="240"/>
      <c r="Y539" s="240"/>
      <c r="Z539" s="308"/>
      <c r="AA539" s="308"/>
      <c r="AB539" s="241"/>
      <c r="AC539" s="242"/>
      <c r="AD539" s="259"/>
      <c r="AE539" s="308"/>
      <c r="AF539" s="308"/>
      <c r="AG539" s="240"/>
      <c r="AH539" s="240"/>
      <c r="AI539" s="240"/>
      <c r="AJ539" s="240"/>
      <c r="AK539" s="308"/>
      <c r="AL539" s="244"/>
      <c r="AM539" s="236"/>
      <c r="AN539" s="378"/>
    </row>
    <row r="540" spans="1:41" s="506" customFormat="1" ht="19.5" customHeight="1">
      <c r="A540" s="275">
        <v>27</v>
      </c>
      <c r="B540" s="498" t="s">
        <v>368</v>
      </c>
      <c r="C540" s="508"/>
      <c r="D540" s="508"/>
      <c r="E540" s="509"/>
      <c r="F540" s="510"/>
      <c r="G540" s="510"/>
      <c r="H540" s="510"/>
      <c r="I540" s="282">
        <f>SUM(I541:I543)</f>
        <v>2385.207</v>
      </c>
      <c r="J540" s="282">
        <f aca="true" t="shared" si="271" ref="J540:U540">SUM(J541:J543)</f>
        <v>2385.207</v>
      </c>
      <c r="K540" s="282">
        <f t="shared" si="271"/>
        <v>2385.21</v>
      </c>
      <c r="L540" s="282">
        <f t="shared" si="271"/>
        <v>0</v>
      </c>
      <c r="M540" s="282">
        <f t="shared" si="271"/>
        <v>0</v>
      </c>
      <c r="N540" s="282">
        <f t="shared" si="271"/>
        <v>2385.207</v>
      </c>
      <c r="O540" s="282">
        <f t="shared" si="271"/>
        <v>2385.21</v>
      </c>
      <c r="P540" s="282">
        <f t="shared" si="271"/>
        <v>2385.21</v>
      </c>
      <c r="Q540" s="282">
        <f t="shared" si="271"/>
        <v>0</v>
      </c>
      <c r="R540" s="282">
        <f t="shared" si="271"/>
        <v>2385.21</v>
      </c>
      <c r="S540" s="282">
        <f t="shared" si="271"/>
        <v>0</v>
      </c>
      <c r="T540" s="282">
        <f t="shared" si="271"/>
        <v>0</v>
      </c>
      <c r="U540" s="282">
        <f t="shared" si="271"/>
        <v>0</v>
      </c>
      <c r="V540" s="282">
        <f aca="true" t="shared" si="272" ref="V540:AO540">SUM(V541:V542)</f>
        <v>0</v>
      </c>
      <c r="W540" s="282">
        <f t="shared" si="272"/>
        <v>0</v>
      </c>
      <c r="X540" s="282">
        <f t="shared" si="272"/>
        <v>0</v>
      </c>
      <c r="Y540" s="282">
        <f t="shared" si="272"/>
        <v>0</v>
      </c>
      <c r="Z540" s="282">
        <f t="shared" si="272"/>
        <v>0</v>
      </c>
      <c r="AA540" s="282">
        <f t="shared" si="272"/>
        <v>0</v>
      </c>
      <c r="AB540" s="282">
        <f t="shared" si="272"/>
        <v>0</v>
      </c>
      <c r="AC540" s="282">
        <f t="shared" si="272"/>
        <v>0</v>
      </c>
      <c r="AD540" s="282">
        <f t="shared" si="272"/>
        <v>0</v>
      </c>
      <c r="AE540" s="282">
        <f t="shared" si="272"/>
        <v>0</v>
      </c>
      <c r="AF540" s="282">
        <f t="shared" si="272"/>
        <v>0</v>
      </c>
      <c r="AG540" s="282">
        <f t="shared" si="272"/>
        <v>0</v>
      </c>
      <c r="AH540" s="282">
        <f t="shared" si="272"/>
        <v>0</v>
      </c>
      <c r="AI540" s="282">
        <f t="shared" si="272"/>
        <v>0</v>
      </c>
      <c r="AJ540" s="282">
        <f t="shared" si="272"/>
        <v>0</v>
      </c>
      <c r="AK540" s="282">
        <f t="shared" si="272"/>
        <v>0</v>
      </c>
      <c r="AL540" s="282">
        <f t="shared" si="272"/>
        <v>0</v>
      </c>
      <c r="AM540" s="282">
        <f t="shared" si="272"/>
        <v>0</v>
      </c>
      <c r="AN540" s="282">
        <f t="shared" si="272"/>
        <v>0</v>
      </c>
      <c r="AO540" s="282">
        <f t="shared" si="272"/>
        <v>0</v>
      </c>
    </row>
    <row r="541" spans="1:40" s="506" customFormat="1" ht="19.5" customHeight="1">
      <c r="A541" s="275"/>
      <c r="B541" s="478" t="s">
        <v>369</v>
      </c>
      <c r="C541" s="502" t="s">
        <v>365</v>
      </c>
      <c r="D541" s="502" t="s">
        <v>1380</v>
      </c>
      <c r="E541" s="503"/>
      <c r="F541" s="504">
        <v>15000</v>
      </c>
      <c r="G541" s="504">
        <v>14875.061</v>
      </c>
      <c r="H541" s="504">
        <v>14524.282</v>
      </c>
      <c r="I541" s="237">
        <v>358.707</v>
      </c>
      <c r="J541" s="237">
        <v>358.707</v>
      </c>
      <c r="K541" s="237">
        <v>358.71</v>
      </c>
      <c r="L541" s="237"/>
      <c r="M541" s="237"/>
      <c r="N541" s="239">
        <v>358.707</v>
      </c>
      <c r="O541" s="239">
        <v>358.71</v>
      </c>
      <c r="P541" s="239">
        <f>SUM(Q541:S541)</f>
        <v>358.71</v>
      </c>
      <c r="Q541" s="296"/>
      <c r="R541" s="239">
        <v>358.71</v>
      </c>
      <c r="S541" s="296"/>
      <c r="T541" s="296"/>
      <c r="U541" s="296"/>
      <c r="V541" s="240"/>
      <c r="W541" s="240"/>
      <c r="X541" s="240"/>
      <c r="Y541" s="240"/>
      <c r="Z541" s="308"/>
      <c r="AA541" s="308"/>
      <c r="AB541" s="241"/>
      <c r="AC541" s="242"/>
      <c r="AD541" s="259"/>
      <c r="AE541" s="308"/>
      <c r="AF541" s="308"/>
      <c r="AG541" s="240"/>
      <c r="AH541" s="240"/>
      <c r="AI541" s="240"/>
      <c r="AJ541" s="240"/>
      <c r="AK541" s="308"/>
      <c r="AL541" s="244"/>
      <c r="AM541" s="236"/>
      <c r="AN541" s="378"/>
    </row>
    <row r="542" spans="1:40" s="506" customFormat="1" ht="19.5" customHeight="1">
      <c r="A542" s="263"/>
      <c r="B542" s="478" t="s">
        <v>370</v>
      </c>
      <c r="C542" s="502"/>
      <c r="D542" s="502"/>
      <c r="E542" s="503"/>
      <c r="F542" s="504"/>
      <c r="G542" s="504"/>
      <c r="H542" s="504"/>
      <c r="I542" s="237">
        <f>SUM(K542,M542)</f>
        <v>26.5</v>
      </c>
      <c r="J542" s="237">
        <v>26.5</v>
      </c>
      <c r="K542" s="237">
        <v>26.5</v>
      </c>
      <c r="L542" s="237"/>
      <c r="M542" s="237"/>
      <c r="N542" s="239">
        <f t="shared" si="270"/>
        <v>26.5</v>
      </c>
      <c r="O542" s="239">
        <v>26.5</v>
      </c>
      <c r="P542" s="239">
        <f>SUM(Q542:S542)</f>
        <v>26.5</v>
      </c>
      <c r="Q542" s="505"/>
      <c r="R542" s="307">
        <v>26.5</v>
      </c>
      <c r="S542" s="307"/>
      <c r="T542" s="307"/>
      <c r="U542" s="505"/>
      <c r="V542" s="240"/>
      <c r="W542" s="240"/>
      <c r="X542" s="240"/>
      <c r="Y542" s="240"/>
      <c r="Z542" s="308"/>
      <c r="AA542" s="308"/>
      <c r="AB542" s="241"/>
      <c r="AC542" s="242"/>
      <c r="AD542" s="259"/>
      <c r="AE542" s="308"/>
      <c r="AF542" s="308"/>
      <c r="AG542" s="240"/>
      <c r="AH542" s="240"/>
      <c r="AI542" s="240"/>
      <c r="AJ542" s="240"/>
      <c r="AK542" s="308"/>
      <c r="AL542" s="244"/>
      <c r="AM542" s="236"/>
      <c r="AN542" s="378"/>
    </row>
    <row r="543" spans="1:40" s="506" customFormat="1" ht="19.5" customHeight="1">
      <c r="A543" s="263"/>
      <c r="B543" s="478" t="s">
        <v>568</v>
      </c>
      <c r="C543" s="502" t="s">
        <v>569</v>
      </c>
      <c r="D543" s="502"/>
      <c r="E543" s="503"/>
      <c r="F543" s="504"/>
      <c r="G543" s="504"/>
      <c r="H543" s="504"/>
      <c r="I543" s="237">
        <f>SUM(K543,M543)</f>
        <v>2000</v>
      </c>
      <c r="J543" s="237">
        <v>2000</v>
      </c>
      <c r="K543" s="237">
        <v>2000</v>
      </c>
      <c r="L543" s="237"/>
      <c r="M543" s="237"/>
      <c r="N543" s="239">
        <f>SUM(P543,U543)</f>
        <v>2000</v>
      </c>
      <c r="O543" s="239">
        <v>2000</v>
      </c>
      <c r="P543" s="239">
        <f>SUM(Q543:S543)</f>
        <v>2000</v>
      </c>
      <c r="Q543" s="505"/>
      <c r="R543" s="307">
        <v>2000</v>
      </c>
      <c r="S543" s="307"/>
      <c r="T543" s="307"/>
      <c r="U543" s="505"/>
      <c r="V543" s="240"/>
      <c r="W543" s="240"/>
      <c r="X543" s="240"/>
      <c r="Y543" s="240"/>
      <c r="Z543" s="308"/>
      <c r="AA543" s="308"/>
      <c r="AB543" s="241"/>
      <c r="AC543" s="242"/>
      <c r="AD543" s="259"/>
      <c r="AE543" s="308"/>
      <c r="AF543" s="308"/>
      <c r="AG543" s="240"/>
      <c r="AH543" s="240"/>
      <c r="AI543" s="240"/>
      <c r="AJ543" s="240"/>
      <c r="AK543" s="308"/>
      <c r="AL543" s="244"/>
      <c r="AM543" s="236"/>
      <c r="AN543" s="378"/>
    </row>
    <row r="544" spans="1:40" s="506" customFormat="1" ht="19.5" customHeight="1">
      <c r="A544" s="275">
        <v>28</v>
      </c>
      <c r="B544" s="498" t="s">
        <v>379</v>
      </c>
      <c r="C544" s="508"/>
      <c r="D544" s="508"/>
      <c r="E544" s="509"/>
      <c r="F544" s="510"/>
      <c r="G544" s="510"/>
      <c r="H544" s="510"/>
      <c r="I544" s="282"/>
      <c r="J544" s="282"/>
      <c r="K544" s="282"/>
      <c r="L544" s="282"/>
      <c r="M544" s="282"/>
      <c r="N544" s="296">
        <f>SUM(N545:N547)</f>
        <v>1200</v>
      </c>
      <c r="O544" s="296">
        <f aca="true" t="shared" si="273" ref="O544:T544">SUM(O545:O547)</f>
        <v>0</v>
      </c>
      <c r="P544" s="296">
        <f t="shared" si="273"/>
        <v>1200</v>
      </c>
      <c r="Q544" s="296">
        <f t="shared" si="273"/>
        <v>1200</v>
      </c>
      <c r="R544" s="296">
        <f t="shared" si="273"/>
        <v>0</v>
      </c>
      <c r="S544" s="296">
        <f t="shared" si="273"/>
        <v>0</v>
      </c>
      <c r="T544" s="296">
        <f t="shared" si="273"/>
        <v>0</v>
      </c>
      <c r="U544" s="290"/>
      <c r="V544" s="240"/>
      <c r="W544" s="240"/>
      <c r="X544" s="240"/>
      <c r="Y544" s="240"/>
      <c r="Z544" s="308"/>
      <c r="AA544" s="308"/>
      <c r="AB544" s="241"/>
      <c r="AC544" s="242"/>
      <c r="AD544" s="259"/>
      <c r="AE544" s="308"/>
      <c r="AF544" s="308"/>
      <c r="AG544" s="240"/>
      <c r="AH544" s="240"/>
      <c r="AI544" s="240"/>
      <c r="AJ544" s="240"/>
      <c r="AK544" s="308"/>
      <c r="AL544" s="244"/>
      <c r="AM544" s="236"/>
      <c r="AN544" s="378"/>
    </row>
    <row r="545" spans="1:40" s="506" customFormat="1" ht="19.5" customHeight="1">
      <c r="A545" s="263"/>
      <c r="B545" s="478" t="s">
        <v>1690</v>
      </c>
      <c r="C545" s="502"/>
      <c r="D545" s="502"/>
      <c r="E545" s="503"/>
      <c r="F545" s="504"/>
      <c r="G545" s="504"/>
      <c r="H545" s="504"/>
      <c r="I545" s="237"/>
      <c r="J545" s="237"/>
      <c r="K545" s="237"/>
      <c r="L545" s="237"/>
      <c r="M545" s="237"/>
      <c r="N545" s="239">
        <f>SUM(P545,U545)</f>
        <v>460</v>
      </c>
      <c r="O545" s="239"/>
      <c r="P545" s="239">
        <f>SUM(Q545:S545)</f>
        <v>460</v>
      </c>
      <c r="Q545" s="505">
        <v>460</v>
      </c>
      <c r="R545" s="307"/>
      <c r="S545" s="307"/>
      <c r="T545" s="307"/>
      <c r="U545" s="306"/>
      <c r="V545" s="240"/>
      <c r="W545" s="240"/>
      <c r="X545" s="240"/>
      <c r="Y545" s="240"/>
      <c r="Z545" s="308"/>
      <c r="AA545" s="308"/>
      <c r="AB545" s="241"/>
      <c r="AC545" s="242"/>
      <c r="AD545" s="259"/>
      <c r="AE545" s="308"/>
      <c r="AF545" s="308"/>
      <c r="AG545" s="240"/>
      <c r="AH545" s="240"/>
      <c r="AI545" s="240"/>
      <c r="AJ545" s="240"/>
      <c r="AK545" s="308"/>
      <c r="AL545" s="244"/>
      <c r="AM545" s="236"/>
      <c r="AN545" s="378"/>
    </row>
    <row r="546" spans="1:40" s="506" customFormat="1" ht="19.5" customHeight="1">
      <c r="A546" s="263"/>
      <c r="B546" s="478" t="s">
        <v>380</v>
      </c>
      <c r="C546" s="502"/>
      <c r="D546" s="502"/>
      <c r="E546" s="503"/>
      <c r="F546" s="504"/>
      <c r="G546" s="504"/>
      <c r="H546" s="504"/>
      <c r="I546" s="237"/>
      <c r="J546" s="237"/>
      <c r="K546" s="237"/>
      <c r="L546" s="237"/>
      <c r="M546" s="237"/>
      <c r="N546" s="239">
        <f>SUM(P546,U546)</f>
        <v>400</v>
      </c>
      <c r="O546" s="239"/>
      <c r="P546" s="239">
        <f>SUM(Q546:S546)</f>
        <v>400</v>
      </c>
      <c r="Q546" s="505">
        <v>400</v>
      </c>
      <c r="R546" s="307"/>
      <c r="S546" s="307"/>
      <c r="T546" s="307"/>
      <c r="U546" s="306"/>
      <c r="V546" s="240"/>
      <c r="W546" s="240"/>
      <c r="X546" s="240"/>
      <c r="Y546" s="240"/>
      <c r="Z546" s="308"/>
      <c r="AA546" s="308"/>
      <c r="AB546" s="241"/>
      <c r="AC546" s="242"/>
      <c r="AD546" s="259"/>
      <c r="AE546" s="308"/>
      <c r="AF546" s="308"/>
      <c r="AG546" s="240"/>
      <c r="AH546" s="240"/>
      <c r="AI546" s="240"/>
      <c r="AJ546" s="240"/>
      <c r="AK546" s="308"/>
      <c r="AL546" s="244"/>
      <c r="AM546" s="236"/>
      <c r="AN546" s="378"/>
    </row>
    <row r="547" spans="1:40" s="506" customFormat="1" ht="19.5" customHeight="1">
      <c r="A547" s="263"/>
      <c r="B547" s="478" t="s">
        <v>381</v>
      </c>
      <c r="C547" s="502"/>
      <c r="D547" s="502"/>
      <c r="E547" s="503"/>
      <c r="F547" s="504"/>
      <c r="G547" s="504"/>
      <c r="H547" s="504"/>
      <c r="I547" s="237"/>
      <c r="J547" s="237"/>
      <c r="K547" s="237"/>
      <c r="L547" s="237"/>
      <c r="M547" s="237"/>
      <c r="N547" s="239">
        <f>SUM(P547,U547)</f>
        <v>340</v>
      </c>
      <c r="O547" s="239"/>
      <c r="P547" s="239">
        <f>SUM(Q547:S547)</f>
        <v>340</v>
      </c>
      <c r="Q547" s="505">
        <v>340</v>
      </c>
      <c r="R547" s="307"/>
      <c r="S547" s="307"/>
      <c r="T547" s="307"/>
      <c r="U547" s="306"/>
      <c r="V547" s="240"/>
      <c r="W547" s="240"/>
      <c r="X547" s="240"/>
      <c r="Y547" s="240"/>
      <c r="Z547" s="308"/>
      <c r="AA547" s="308"/>
      <c r="AB547" s="241"/>
      <c r="AC547" s="242"/>
      <c r="AD547" s="259"/>
      <c r="AE547" s="308"/>
      <c r="AF547" s="308"/>
      <c r="AG547" s="240"/>
      <c r="AH547" s="240"/>
      <c r="AI547" s="240"/>
      <c r="AJ547" s="240"/>
      <c r="AK547" s="308"/>
      <c r="AL547" s="244"/>
      <c r="AM547" s="236"/>
      <c r="AN547" s="378"/>
    </row>
    <row r="548" spans="1:148" s="501" customFormat="1" ht="19.5" customHeight="1">
      <c r="A548" s="216">
        <v>29</v>
      </c>
      <c r="B548" s="217" t="s">
        <v>990</v>
      </c>
      <c r="C548" s="218"/>
      <c r="D548" s="456"/>
      <c r="E548" s="219"/>
      <c r="F548" s="221"/>
      <c r="G548" s="221"/>
      <c r="H548" s="221"/>
      <c r="I548" s="222">
        <f>SUM(I549,I556,I573,I581)</f>
        <v>18021.120000000003</v>
      </c>
      <c r="J548" s="222">
        <f aca="true" t="shared" si="274" ref="J548:U548">SUM(J549,J556,J573,J581)</f>
        <v>1021.12</v>
      </c>
      <c r="K548" s="222">
        <f t="shared" si="274"/>
        <v>18021.120000000003</v>
      </c>
      <c r="L548" s="222">
        <f t="shared" si="274"/>
        <v>0</v>
      </c>
      <c r="M548" s="222">
        <f t="shared" si="274"/>
        <v>0</v>
      </c>
      <c r="N548" s="222">
        <f t="shared" si="274"/>
        <v>16329.064999999999</v>
      </c>
      <c r="O548" s="222">
        <f t="shared" si="274"/>
        <v>0</v>
      </c>
      <c r="P548" s="222">
        <f t="shared" si="274"/>
        <v>16329.064999999999</v>
      </c>
      <c r="Q548" s="222">
        <f t="shared" si="274"/>
        <v>16307.945</v>
      </c>
      <c r="R548" s="222">
        <f t="shared" si="274"/>
        <v>21.12</v>
      </c>
      <c r="S548" s="222">
        <f t="shared" si="274"/>
        <v>0</v>
      </c>
      <c r="T548" s="222">
        <f t="shared" si="274"/>
        <v>0</v>
      </c>
      <c r="U548" s="222">
        <f t="shared" si="274"/>
        <v>0</v>
      </c>
      <c r="V548" s="223">
        <f>SUM(V574)</f>
        <v>0</v>
      </c>
      <c r="W548" s="223">
        <f>SUM(W574)</f>
        <v>0</v>
      </c>
      <c r="X548" s="223">
        <f>SUM(X574)</f>
        <v>0</v>
      </c>
      <c r="Y548" s="223">
        <f>SUM(Y574)</f>
        <v>0</v>
      </c>
      <c r="Z548" s="223">
        <f aca="true" t="shared" si="275" ref="Z548:AM548">SUM(Z574)</f>
        <v>0</v>
      </c>
      <c r="AA548" s="223">
        <f t="shared" si="275"/>
        <v>0</v>
      </c>
      <c r="AB548" s="223">
        <f t="shared" si="275"/>
        <v>0</v>
      </c>
      <c r="AC548" s="223">
        <f t="shared" si="275"/>
        <v>0</v>
      </c>
      <c r="AD548" s="223">
        <f t="shared" si="275"/>
        <v>0</v>
      </c>
      <c r="AE548" s="223">
        <f t="shared" si="275"/>
        <v>0</v>
      </c>
      <c r="AF548" s="223">
        <f t="shared" si="275"/>
        <v>0</v>
      </c>
      <c r="AG548" s="223">
        <f t="shared" si="275"/>
        <v>0</v>
      </c>
      <c r="AH548" s="223">
        <f t="shared" si="275"/>
        <v>0</v>
      </c>
      <c r="AI548" s="223">
        <f t="shared" si="275"/>
        <v>0</v>
      </c>
      <c r="AJ548" s="223">
        <f t="shared" si="275"/>
        <v>0</v>
      </c>
      <c r="AK548" s="223">
        <f t="shared" si="275"/>
        <v>0</v>
      </c>
      <c r="AL548" s="223">
        <f t="shared" si="275"/>
        <v>0</v>
      </c>
      <c r="AM548" s="223">
        <f t="shared" si="275"/>
        <v>0</v>
      </c>
      <c r="AN548" s="196"/>
      <c r="AO548" s="196"/>
      <c r="AP548" s="196"/>
      <c r="AQ548" s="196"/>
      <c r="AR548" s="196"/>
      <c r="AS548" s="196"/>
      <c r="AT548" s="196"/>
      <c r="AU548" s="196"/>
      <c r="AV548" s="196"/>
      <c r="AW548" s="196"/>
      <c r="AX548" s="196"/>
      <c r="AY548" s="196"/>
      <c r="AZ548" s="196"/>
      <c r="BA548" s="196"/>
      <c r="BB548" s="196"/>
      <c r="BC548" s="196"/>
      <c r="BD548" s="196"/>
      <c r="BE548" s="196"/>
      <c r="BF548" s="196"/>
      <c r="BG548" s="196"/>
      <c r="BH548" s="196"/>
      <c r="BI548" s="196"/>
      <c r="BJ548" s="196"/>
      <c r="BK548" s="196"/>
      <c r="BL548" s="196"/>
      <c r="BM548" s="196"/>
      <c r="BN548" s="196"/>
      <c r="BO548" s="196"/>
      <c r="BP548" s="196"/>
      <c r="BQ548" s="196"/>
      <c r="BR548" s="196"/>
      <c r="BS548" s="196"/>
      <c r="BT548" s="196"/>
      <c r="BU548" s="196"/>
      <c r="BV548" s="196"/>
      <c r="BW548" s="196"/>
      <c r="BX548" s="196"/>
      <c r="BY548" s="196"/>
      <c r="BZ548" s="196"/>
      <c r="CA548" s="196"/>
      <c r="CB548" s="196"/>
      <c r="CC548" s="196"/>
      <c r="CD548" s="196"/>
      <c r="CE548" s="196"/>
      <c r="CF548" s="196"/>
      <c r="CG548" s="196"/>
      <c r="CH548" s="196"/>
      <c r="CI548" s="196"/>
      <c r="CJ548" s="196"/>
      <c r="CK548" s="196"/>
      <c r="CL548" s="196"/>
      <c r="CM548" s="196"/>
      <c r="CN548" s="196"/>
      <c r="CO548" s="196"/>
      <c r="CP548" s="196"/>
      <c r="CQ548" s="196"/>
      <c r="CR548" s="196"/>
      <c r="CS548" s="196"/>
      <c r="CT548" s="196"/>
      <c r="CU548" s="196"/>
      <c r="CV548" s="196"/>
      <c r="CW548" s="196"/>
      <c r="CX548" s="196"/>
      <c r="CY548" s="196"/>
      <c r="CZ548" s="196"/>
      <c r="DA548" s="196"/>
      <c r="DB548" s="196"/>
      <c r="DC548" s="196"/>
      <c r="DD548" s="196"/>
      <c r="DE548" s="196"/>
      <c r="DF548" s="196"/>
      <c r="DG548" s="196"/>
      <c r="DH548" s="196"/>
      <c r="DI548" s="196"/>
      <c r="DJ548" s="196"/>
      <c r="DK548" s="196"/>
      <c r="DL548" s="196"/>
      <c r="DM548" s="196"/>
      <c r="DN548" s="196"/>
      <c r="DO548" s="196"/>
      <c r="DP548" s="196"/>
      <c r="DQ548" s="196"/>
      <c r="DR548" s="196"/>
      <c r="DS548" s="196"/>
      <c r="DT548" s="196"/>
      <c r="DU548" s="196"/>
      <c r="DV548" s="196"/>
      <c r="DW548" s="196"/>
      <c r="DX548" s="196"/>
      <c r="DY548" s="196"/>
      <c r="DZ548" s="196"/>
      <c r="EA548" s="196"/>
      <c r="EB548" s="196"/>
      <c r="EC548" s="196"/>
      <c r="ED548" s="196"/>
      <c r="EE548" s="196"/>
      <c r="EF548" s="196"/>
      <c r="EG548" s="196"/>
      <c r="EH548" s="196"/>
      <c r="EI548" s="196"/>
      <c r="EJ548" s="196"/>
      <c r="EK548" s="196"/>
      <c r="EL548" s="196"/>
      <c r="EM548" s="196"/>
      <c r="EN548" s="196"/>
      <c r="EO548" s="196"/>
      <c r="EP548" s="196"/>
      <c r="EQ548" s="196"/>
      <c r="ER548" s="196"/>
    </row>
    <row r="549" spans="1:39" s="196" customFormat="1" ht="19.5" customHeight="1">
      <c r="A549" s="275" t="s">
        <v>984</v>
      </c>
      <c r="B549" s="287" t="s">
        <v>383</v>
      </c>
      <c r="C549" s="288"/>
      <c r="D549" s="455"/>
      <c r="E549" s="289"/>
      <c r="F549" s="291"/>
      <c r="G549" s="291"/>
      <c r="H549" s="291"/>
      <c r="I549" s="282">
        <f>SUM(I550:I555)</f>
        <v>1021.12</v>
      </c>
      <c r="J549" s="282">
        <f>SUM(J550:J555)</f>
        <v>1021.12</v>
      </c>
      <c r="K549" s="282">
        <f>SUM(K550:K555)</f>
        <v>1021.12</v>
      </c>
      <c r="L549" s="282">
        <f>SUM(L550:L555)</f>
        <v>0</v>
      </c>
      <c r="M549" s="282">
        <f>SUM(M550:M555)</f>
        <v>0</v>
      </c>
      <c r="N549" s="282">
        <f aca="true" t="shared" si="276" ref="N549:T549">SUM(N550:N555)</f>
        <v>1016.925</v>
      </c>
      <c r="O549" s="282">
        <f t="shared" si="276"/>
        <v>0</v>
      </c>
      <c r="P549" s="282">
        <f t="shared" si="276"/>
        <v>1016.925</v>
      </c>
      <c r="Q549" s="282">
        <f t="shared" si="276"/>
        <v>995.805</v>
      </c>
      <c r="R549" s="282">
        <f t="shared" si="276"/>
        <v>21.12</v>
      </c>
      <c r="S549" s="282">
        <f t="shared" si="276"/>
        <v>0</v>
      </c>
      <c r="T549" s="282">
        <f t="shared" si="276"/>
        <v>0</v>
      </c>
      <c r="U549" s="291"/>
      <c r="V549" s="223"/>
      <c r="W549" s="223"/>
      <c r="X549" s="223"/>
      <c r="Y549" s="223"/>
      <c r="Z549" s="223"/>
      <c r="AA549" s="223"/>
      <c r="AB549" s="223"/>
      <c r="AC549" s="223"/>
      <c r="AD549" s="223"/>
      <c r="AE549" s="223"/>
      <c r="AF549" s="223"/>
      <c r="AG549" s="223"/>
      <c r="AH549" s="223"/>
      <c r="AI549" s="223"/>
      <c r="AJ549" s="223"/>
      <c r="AK549" s="223"/>
      <c r="AL549" s="223"/>
      <c r="AM549" s="223"/>
    </row>
    <row r="550" spans="1:39" s="196" customFormat="1" ht="19.5" customHeight="1">
      <c r="A550" s="263"/>
      <c r="B550" s="396" t="s">
        <v>384</v>
      </c>
      <c r="C550" s="304"/>
      <c r="D550" s="490"/>
      <c r="E550" s="305"/>
      <c r="F550" s="244"/>
      <c r="G550" s="244"/>
      <c r="H550" s="244"/>
      <c r="I550" s="237">
        <f aca="true" t="shared" si="277" ref="I550:I555">SUM(K550,M550)</f>
        <v>4.4</v>
      </c>
      <c r="J550" s="237">
        <v>4.4</v>
      </c>
      <c r="K550" s="237">
        <v>4.4</v>
      </c>
      <c r="L550" s="237"/>
      <c r="M550" s="237"/>
      <c r="N550" s="237">
        <f aca="true" t="shared" si="278" ref="N550:N555">SUM(P550,U550)</f>
        <v>4.4</v>
      </c>
      <c r="O550" s="237"/>
      <c r="P550" s="237">
        <f>SUM(R550:S550)</f>
        <v>4.4</v>
      </c>
      <c r="Q550" s="237"/>
      <c r="R550" s="237">
        <v>4.4</v>
      </c>
      <c r="S550" s="237"/>
      <c r="T550" s="237"/>
      <c r="U550" s="244"/>
      <c r="V550" s="223"/>
      <c r="W550" s="223"/>
      <c r="X550" s="223"/>
      <c r="Y550" s="223"/>
      <c r="Z550" s="223"/>
      <c r="AA550" s="223"/>
      <c r="AB550" s="223"/>
      <c r="AC550" s="223"/>
      <c r="AD550" s="223"/>
      <c r="AE550" s="223"/>
      <c r="AF550" s="223"/>
      <c r="AG550" s="223"/>
      <c r="AH550" s="223"/>
      <c r="AI550" s="223"/>
      <c r="AJ550" s="223"/>
      <c r="AK550" s="223"/>
      <c r="AL550" s="223"/>
      <c r="AM550" s="223"/>
    </row>
    <row r="551" spans="1:39" s="196" customFormat="1" ht="19.5" customHeight="1">
      <c r="A551" s="263"/>
      <c r="B551" s="396" t="s">
        <v>385</v>
      </c>
      <c r="C551" s="304" t="s">
        <v>1634</v>
      </c>
      <c r="D551" s="490"/>
      <c r="E551" s="305"/>
      <c r="F551" s="244"/>
      <c r="G551" s="244"/>
      <c r="H551" s="244"/>
      <c r="I551" s="237">
        <f t="shared" si="277"/>
        <v>4.47</v>
      </c>
      <c r="J551" s="237">
        <v>4.47</v>
      </c>
      <c r="K551" s="237">
        <v>4.47</v>
      </c>
      <c r="L551" s="237"/>
      <c r="M551" s="237"/>
      <c r="N551" s="237">
        <f t="shared" si="278"/>
        <v>4.47</v>
      </c>
      <c r="O551" s="237"/>
      <c r="P551" s="237">
        <f>SUM(Q551:S551)</f>
        <v>4.47</v>
      </c>
      <c r="Q551" s="237"/>
      <c r="R551" s="237">
        <v>4.47</v>
      </c>
      <c r="S551" s="237"/>
      <c r="T551" s="237"/>
      <c r="U551" s="244"/>
      <c r="V551" s="223"/>
      <c r="W551" s="223"/>
      <c r="X551" s="223"/>
      <c r="Y551" s="223"/>
      <c r="Z551" s="223"/>
      <c r="AA551" s="223"/>
      <c r="AB551" s="223"/>
      <c r="AC551" s="223"/>
      <c r="AD551" s="223"/>
      <c r="AE551" s="223"/>
      <c r="AF551" s="223"/>
      <c r="AG551" s="223"/>
      <c r="AH551" s="223"/>
      <c r="AI551" s="223"/>
      <c r="AJ551" s="223"/>
      <c r="AK551" s="223"/>
      <c r="AL551" s="223"/>
      <c r="AM551" s="223"/>
    </row>
    <row r="552" spans="1:39" s="196" customFormat="1" ht="19.5" customHeight="1">
      <c r="A552" s="263"/>
      <c r="B552" s="396" t="s">
        <v>386</v>
      </c>
      <c r="C552" s="304" t="s">
        <v>1634</v>
      </c>
      <c r="D552" s="490"/>
      <c r="E552" s="305"/>
      <c r="F552" s="244"/>
      <c r="G552" s="244"/>
      <c r="H552" s="244"/>
      <c r="I552" s="237">
        <f t="shared" si="277"/>
        <v>3.84</v>
      </c>
      <c r="J552" s="237">
        <v>3.84</v>
      </c>
      <c r="K552" s="237">
        <v>3.84</v>
      </c>
      <c r="L552" s="237"/>
      <c r="M552" s="237"/>
      <c r="N552" s="237">
        <f t="shared" si="278"/>
        <v>3.84</v>
      </c>
      <c r="O552" s="237"/>
      <c r="P552" s="237">
        <f>SUM(Q552:S552)</f>
        <v>3.84</v>
      </c>
      <c r="Q552" s="237"/>
      <c r="R552" s="237">
        <v>3.84</v>
      </c>
      <c r="S552" s="237"/>
      <c r="T552" s="237"/>
      <c r="U552" s="244"/>
      <c r="V552" s="223"/>
      <c r="W552" s="223"/>
      <c r="X552" s="223"/>
      <c r="Y552" s="223"/>
      <c r="Z552" s="223"/>
      <c r="AA552" s="223"/>
      <c r="AB552" s="223"/>
      <c r="AC552" s="223"/>
      <c r="AD552" s="223"/>
      <c r="AE552" s="223"/>
      <c r="AF552" s="223"/>
      <c r="AG552" s="223"/>
      <c r="AH552" s="223"/>
      <c r="AI552" s="223"/>
      <c r="AJ552" s="223"/>
      <c r="AK552" s="223"/>
      <c r="AL552" s="223"/>
      <c r="AM552" s="223"/>
    </row>
    <row r="553" spans="1:39" s="196" customFormat="1" ht="19.5" customHeight="1">
      <c r="A553" s="263"/>
      <c r="B553" s="396" t="s">
        <v>387</v>
      </c>
      <c r="C553" s="304" t="s">
        <v>1634</v>
      </c>
      <c r="D553" s="490"/>
      <c r="E553" s="305"/>
      <c r="F553" s="244"/>
      <c r="G553" s="244"/>
      <c r="H553" s="244"/>
      <c r="I553" s="237">
        <f t="shared" si="277"/>
        <v>4</v>
      </c>
      <c r="J553" s="237">
        <v>4</v>
      </c>
      <c r="K553" s="237">
        <v>4</v>
      </c>
      <c r="L553" s="237"/>
      <c r="M553" s="237"/>
      <c r="N553" s="237">
        <f t="shared" si="278"/>
        <v>4</v>
      </c>
      <c r="O553" s="237"/>
      <c r="P553" s="237">
        <f>SUM(Q553:S553)</f>
        <v>4</v>
      </c>
      <c r="Q553" s="237"/>
      <c r="R553" s="237">
        <v>4</v>
      </c>
      <c r="S553" s="237"/>
      <c r="T553" s="237"/>
      <c r="U553" s="244"/>
      <c r="V553" s="223"/>
      <c r="W553" s="223"/>
      <c r="X553" s="223"/>
      <c r="Y553" s="223"/>
      <c r="Z553" s="223"/>
      <c r="AA553" s="223"/>
      <c r="AB553" s="223"/>
      <c r="AC553" s="223"/>
      <c r="AD553" s="223"/>
      <c r="AE553" s="223"/>
      <c r="AF553" s="223"/>
      <c r="AG553" s="223"/>
      <c r="AH553" s="223"/>
      <c r="AI553" s="223"/>
      <c r="AJ553" s="223"/>
      <c r="AK553" s="223"/>
      <c r="AL553" s="223"/>
      <c r="AM553" s="223"/>
    </row>
    <row r="554" spans="1:39" s="196" customFormat="1" ht="19.5" customHeight="1">
      <c r="A554" s="263"/>
      <c r="B554" s="396" t="s">
        <v>388</v>
      </c>
      <c r="C554" s="304" t="s">
        <v>1634</v>
      </c>
      <c r="D554" s="490"/>
      <c r="E554" s="305"/>
      <c r="F554" s="244"/>
      <c r="G554" s="244"/>
      <c r="H554" s="244"/>
      <c r="I554" s="237">
        <f t="shared" si="277"/>
        <v>4.41</v>
      </c>
      <c r="J554" s="237">
        <v>4.41</v>
      </c>
      <c r="K554" s="237">
        <v>4.41</v>
      </c>
      <c r="L554" s="237"/>
      <c r="M554" s="237"/>
      <c r="N554" s="237">
        <f t="shared" si="278"/>
        <v>4.41</v>
      </c>
      <c r="O554" s="237"/>
      <c r="P554" s="237">
        <f>SUM(Q554:S554)</f>
        <v>4.41</v>
      </c>
      <c r="Q554" s="237"/>
      <c r="R554" s="237">
        <v>4.41</v>
      </c>
      <c r="S554" s="237"/>
      <c r="T554" s="237"/>
      <c r="U554" s="244"/>
      <c r="V554" s="223"/>
      <c r="W554" s="223"/>
      <c r="X554" s="223"/>
      <c r="Y554" s="223"/>
      <c r="Z554" s="223"/>
      <c r="AA554" s="223"/>
      <c r="AB554" s="223"/>
      <c r="AC554" s="223"/>
      <c r="AD554" s="223"/>
      <c r="AE554" s="223"/>
      <c r="AF554" s="223"/>
      <c r="AG554" s="223"/>
      <c r="AH554" s="223"/>
      <c r="AI554" s="223"/>
      <c r="AJ554" s="223"/>
      <c r="AK554" s="223"/>
      <c r="AL554" s="223"/>
      <c r="AM554" s="223"/>
    </row>
    <row r="555" spans="1:39" s="196" customFormat="1" ht="19.5" customHeight="1">
      <c r="A555" s="263"/>
      <c r="B555" s="396" t="s">
        <v>389</v>
      </c>
      <c r="C555" s="304" t="s">
        <v>390</v>
      </c>
      <c r="D555" s="490"/>
      <c r="E555" s="305"/>
      <c r="F555" s="244"/>
      <c r="G555" s="244"/>
      <c r="H555" s="244"/>
      <c r="I555" s="237">
        <f t="shared" si="277"/>
        <v>1000</v>
      </c>
      <c r="J555" s="237">
        <v>1000</v>
      </c>
      <c r="K555" s="237">
        <v>1000</v>
      </c>
      <c r="L555" s="237"/>
      <c r="M555" s="237"/>
      <c r="N555" s="237">
        <f t="shared" si="278"/>
        <v>995.805</v>
      </c>
      <c r="O555" s="237"/>
      <c r="P555" s="237">
        <f>SUM(Q555:S555)</f>
        <v>995.805</v>
      </c>
      <c r="Q555" s="237">
        <v>995.805</v>
      </c>
      <c r="R555" s="237"/>
      <c r="S555" s="237"/>
      <c r="T555" s="237"/>
      <c r="U555" s="244"/>
      <c r="V555" s="223"/>
      <c r="W555" s="223"/>
      <c r="X555" s="223"/>
      <c r="Y555" s="223"/>
      <c r="Z555" s="223"/>
      <c r="AA555" s="223"/>
      <c r="AB555" s="223"/>
      <c r="AC555" s="223"/>
      <c r="AD555" s="223"/>
      <c r="AE555" s="223"/>
      <c r="AF555" s="223"/>
      <c r="AG555" s="223"/>
      <c r="AH555" s="223"/>
      <c r="AI555" s="223"/>
      <c r="AJ555" s="223"/>
      <c r="AK555" s="223"/>
      <c r="AL555" s="223"/>
      <c r="AM555" s="223"/>
    </row>
    <row r="556" spans="1:39" s="196" customFormat="1" ht="19.5" customHeight="1">
      <c r="A556" s="275" t="s">
        <v>985</v>
      </c>
      <c r="B556" s="287" t="s">
        <v>392</v>
      </c>
      <c r="C556" s="288"/>
      <c r="D556" s="455"/>
      <c r="E556" s="289"/>
      <c r="F556" s="291"/>
      <c r="G556" s="291"/>
      <c r="H556" s="291"/>
      <c r="I556" s="282">
        <f aca="true" t="shared" si="279" ref="I556:S556">SUM(I557:I561,I569:I572)</f>
        <v>11535</v>
      </c>
      <c r="J556" s="282">
        <f t="shared" si="279"/>
        <v>0</v>
      </c>
      <c r="K556" s="282">
        <f t="shared" si="279"/>
        <v>11535</v>
      </c>
      <c r="L556" s="282">
        <f t="shared" si="279"/>
        <v>0</v>
      </c>
      <c r="M556" s="282">
        <f t="shared" si="279"/>
        <v>0</v>
      </c>
      <c r="N556" s="282">
        <f t="shared" si="279"/>
        <v>11154.14</v>
      </c>
      <c r="O556" s="282">
        <f t="shared" si="279"/>
        <v>0</v>
      </c>
      <c r="P556" s="282">
        <f t="shared" si="279"/>
        <v>11154.14</v>
      </c>
      <c r="Q556" s="282">
        <f t="shared" si="279"/>
        <v>11154.14</v>
      </c>
      <c r="R556" s="282">
        <f t="shared" si="279"/>
        <v>0</v>
      </c>
      <c r="S556" s="282">
        <f t="shared" si="279"/>
        <v>0</v>
      </c>
      <c r="T556" s="282"/>
      <c r="U556" s="291"/>
      <c r="V556" s="223"/>
      <c r="W556" s="223"/>
      <c r="X556" s="223"/>
      <c r="Y556" s="223"/>
      <c r="Z556" s="223"/>
      <c r="AA556" s="223"/>
      <c r="AB556" s="223"/>
      <c r="AC556" s="223"/>
      <c r="AD556" s="223"/>
      <c r="AE556" s="223"/>
      <c r="AF556" s="223"/>
      <c r="AG556" s="223"/>
      <c r="AH556" s="223"/>
      <c r="AI556" s="223"/>
      <c r="AJ556" s="223"/>
      <c r="AK556" s="223"/>
      <c r="AL556" s="223"/>
      <c r="AM556" s="223"/>
    </row>
    <row r="557" spans="1:39" s="196" customFormat="1" ht="19.5" customHeight="1">
      <c r="A557" s="263"/>
      <c r="B557" s="396" t="s">
        <v>393</v>
      </c>
      <c r="C557" s="304" t="s">
        <v>394</v>
      </c>
      <c r="D557" s="490"/>
      <c r="E557" s="305"/>
      <c r="F557" s="244"/>
      <c r="G557" s="244"/>
      <c r="H557" s="244"/>
      <c r="I557" s="237">
        <f>SUM(K557,M557)</f>
        <v>1774.5</v>
      </c>
      <c r="J557" s="237"/>
      <c r="K557" s="237">
        <v>1774.5</v>
      </c>
      <c r="L557" s="237"/>
      <c r="M557" s="237"/>
      <c r="N557" s="237">
        <f>SUM(P557,U557)</f>
        <v>1689.98</v>
      </c>
      <c r="O557" s="237"/>
      <c r="P557" s="237">
        <f>SUM(Q557:S557)</f>
        <v>1689.98</v>
      </c>
      <c r="Q557" s="237">
        <v>1689.98</v>
      </c>
      <c r="R557" s="237"/>
      <c r="S557" s="237"/>
      <c r="T557" s="237"/>
      <c r="U557" s="244"/>
      <c r="V557" s="223"/>
      <c r="W557" s="223"/>
      <c r="X557" s="223"/>
      <c r="Y557" s="223"/>
      <c r="Z557" s="223"/>
      <c r="AA557" s="223"/>
      <c r="AB557" s="223"/>
      <c r="AC557" s="223"/>
      <c r="AD557" s="223"/>
      <c r="AE557" s="223"/>
      <c r="AF557" s="223"/>
      <c r="AG557" s="223"/>
      <c r="AH557" s="223"/>
      <c r="AI557" s="223"/>
      <c r="AJ557" s="223"/>
      <c r="AK557" s="223"/>
      <c r="AL557" s="223"/>
      <c r="AM557" s="223"/>
    </row>
    <row r="558" spans="1:39" s="196" customFormat="1" ht="19.5" customHeight="1">
      <c r="A558" s="263"/>
      <c r="B558" s="396" t="s">
        <v>395</v>
      </c>
      <c r="C558" s="304" t="s">
        <v>1267</v>
      </c>
      <c r="D558" s="490"/>
      <c r="E558" s="305"/>
      <c r="F558" s="244"/>
      <c r="G558" s="244"/>
      <c r="H558" s="244"/>
      <c r="I558" s="237">
        <f>SUM(K558,M558)</f>
        <v>1768</v>
      </c>
      <c r="J558" s="237"/>
      <c r="K558" s="237">
        <v>1768</v>
      </c>
      <c r="L558" s="237"/>
      <c r="M558" s="237"/>
      <c r="N558" s="237">
        <f>SUM(P558,U558)</f>
        <v>1765.34</v>
      </c>
      <c r="O558" s="237"/>
      <c r="P558" s="237">
        <f>SUM(Q558:S558)</f>
        <v>1765.34</v>
      </c>
      <c r="Q558" s="237">
        <v>1765.34</v>
      </c>
      <c r="R558" s="237"/>
      <c r="S558" s="237"/>
      <c r="T558" s="237"/>
      <c r="U558" s="244"/>
      <c r="V558" s="223"/>
      <c r="W558" s="223"/>
      <c r="X558" s="223"/>
      <c r="Y558" s="223"/>
      <c r="Z558" s="223"/>
      <c r="AA558" s="223"/>
      <c r="AB558" s="223"/>
      <c r="AC558" s="223"/>
      <c r="AD558" s="223"/>
      <c r="AE558" s="223"/>
      <c r="AF558" s="223"/>
      <c r="AG558" s="223"/>
      <c r="AH558" s="223"/>
      <c r="AI558" s="223"/>
      <c r="AJ558" s="223"/>
      <c r="AK558" s="223"/>
      <c r="AL558" s="223"/>
      <c r="AM558" s="223"/>
    </row>
    <row r="559" spans="1:39" s="196" customFormat="1" ht="19.5" customHeight="1">
      <c r="A559" s="263"/>
      <c r="B559" s="396" t="s">
        <v>1689</v>
      </c>
      <c r="C559" s="304" t="s">
        <v>1267</v>
      </c>
      <c r="D559" s="490"/>
      <c r="E559" s="305"/>
      <c r="F559" s="244"/>
      <c r="G559" s="244"/>
      <c r="H559" s="244"/>
      <c r="I559" s="237">
        <f>SUM(K559,M559)</f>
        <v>645</v>
      </c>
      <c r="J559" s="237"/>
      <c r="K559" s="237">
        <v>645</v>
      </c>
      <c r="L559" s="237"/>
      <c r="M559" s="237"/>
      <c r="N559" s="237">
        <f>SUM(P559,U559)</f>
        <v>536.12</v>
      </c>
      <c r="O559" s="237"/>
      <c r="P559" s="237">
        <f>SUM(Q559:S559)</f>
        <v>536.12</v>
      </c>
      <c r="Q559" s="237">
        <v>536.12</v>
      </c>
      <c r="R559" s="237"/>
      <c r="S559" s="237"/>
      <c r="T559" s="237"/>
      <c r="U559" s="244"/>
      <c r="V559" s="223"/>
      <c r="W559" s="223"/>
      <c r="X559" s="223"/>
      <c r="Y559" s="223"/>
      <c r="Z559" s="223"/>
      <c r="AA559" s="223"/>
      <c r="AB559" s="223"/>
      <c r="AC559" s="223"/>
      <c r="AD559" s="223"/>
      <c r="AE559" s="223"/>
      <c r="AF559" s="223"/>
      <c r="AG559" s="223"/>
      <c r="AH559" s="223"/>
      <c r="AI559" s="223"/>
      <c r="AJ559" s="223"/>
      <c r="AK559" s="223"/>
      <c r="AL559" s="223"/>
      <c r="AM559" s="223"/>
    </row>
    <row r="560" spans="1:39" s="196" customFormat="1" ht="19.5" customHeight="1">
      <c r="A560" s="263"/>
      <c r="B560" s="396" t="s">
        <v>1691</v>
      </c>
      <c r="C560" s="304" t="s">
        <v>1267</v>
      </c>
      <c r="D560" s="490"/>
      <c r="E560" s="305"/>
      <c r="F560" s="244"/>
      <c r="G560" s="244"/>
      <c r="H560" s="244"/>
      <c r="I560" s="237">
        <f>SUM(K560,M560)</f>
        <v>631</v>
      </c>
      <c r="J560" s="237"/>
      <c r="K560" s="237">
        <v>631</v>
      </c>
      <c r="L560" s="237"/>
      <c r="M560" s="237"/>
      <c r="N560" s="237">
        <f>SUM(P560,U560)</f>
        <v>630.5</v>
      </c>
      <c r="O560" s="237"/>
      <c r="P560" s="237">
        <f>SUM(Q560:S560)</f>
        <v>630.5</v>
      </c>
      <c r="Q560" s="237">
        <v>630.5</v>
      </c>
      <c r="R560" s="237"/>
      <c r="S560" s="237"/>
      <c r="T560" s="237"/>
      <c r="U560" s="244"/>
      <c r="V560" s="223"/>
      <c r="W560" s="223"/>
      <c r="X560" s="223"/>
      <c r="Y560" s="223"/>
      <c r="Z560" s="223"/>
      <c r="AA560" s="223"/>
      <c r="AB560" s="223"/>
      <c r="AC560" s="223"/>
      <c r="AD560" s="223"/>
      <c r="AE560" s="223"/>
      <c r="AF560" s="223"/>
      <c r="AG560" s="223"/>
      <c r="AH560" s="223"/>
      <c r="AI560" s="223"/>
      <c r="AJ560" s="223"/>
      <c r="AK560" s="223"/>
      <c r="AL560" s="223"/>
      <c r="AM560" s="223"/>
    </row>
    <row r="561" spans="1:39" s="196" customFormat="1" ht="19.5" customHeight="1">
      <c r="A561" s="263"/>
      <c r="B561" s="396" t="s">
        <v>1690</v>
      </c>
      <c r="C561" s="304" t="s">
        <v>1054</v>
      </c>
      <c r="D561" s="490"/>
      <c r="E561" s="305"/>
      <c r="F561" s="244"/>
      <c r="G561" s="244"/>
      <c r="H561" s="244"/>
      <c r="I561" s="237">
        <f>SUM(K561,M561)</f>
        <v>406</v>
      </c>
      <c r="J561" s="237">
        <f>SUM(J562:J568)</f>
        <v>0</v>
      </c>
      <c r="K561" s="237">
        <v>406</v>
      </c>
      <c r="L561" s="237">
        <f>SUM(L562:L568)</f>
        <v>0</v>
      </c>
      <c r="M561" s="237"/>
      <c r="N561" s="237">
        <f>SUM(N562:N568)</f>
        <v>399.1</v>
      </c>
      <c r="O561" s="237">
        <f>SUM(O562:O568)</f>
        <v>0</v>
      </c>
      <c r="P561" s="237">
        <f>SUM(P562:P568)</f>
        <v>399.1</v>
      </c>
      <c r="Q561" s="237">
        <f>SUM(Q562:Q568)</f>
        <v>399.1</v>
      </c>
      <c r="R561" s="237">
        <f>SUM(R562:R568)</f>
        <v>0</v>
      </c>
      <c r="S561" s="237"/>
      <c r="T561" s="237"/>
      <c r="U561" s="244"/>
      <c r="V561" s="223"/>
      <c r="W561" s="223"/>
      <c r="X561" s="223"/>
      <c r="Y561" s="223"/>
      <c r="Z561" s="223"/>
      <c r="AA561" s="223"/>
      <c r="AB561" s="223"/>
      <c r="AC561" s="223"/>
      <c r="AD561" s="223"/>
      <c r="AE561" s="223"/>
      <c r="AF561" s="223"/>
      <c r="AG561" s="223"/>
      <c r="AH561" s="223"/>
      <c r="AI561" s="223"/>
      <c r="AJ561" s="223"/>
      <c r="AK561" s="223"/>
      <c r="AL561" s="223"/>
      <c r="AM561" s="223"/>
    </row>
    <row r="562" spans="1:39" s="196" customFormat="1" ht="19.5" customHeight="1">
      <c r="A562" s="263"/>
      <c r="B562" s="511" t="s">
        <v>396</v>
      </c>
      <c r="C562" s="304" t="s">
        <v>1267</v>
      </c>
      <c r="D562" s="502" t="s">
        <v>335</v>
      </c>
      <c r="E562" s="512"/>
      <c r="F562" s="513"/>
      <c r="G562" s="513"/>
      <c r="H562" s="513"/>
      <c r="I562" s="237"/>
      <c r="J562" s="237"/>
      <c r="K562" s="237"/>
      <c r="L562" s="514"/>
      <c r="M562" s="514"/>
      <c r="N562" s="515">
        <f aca="true" t="shared" si="280" ref="N562:N568">+O562+Q562</f>
        <v>37.7</v>
      </c>
      <c r="O562" s="515"/>
      <c r="P562" s="515">
        <f>SUM(Q562:S562)</f>
        <v>37.7</v>
      </c>
      <c r="Q562" s="488">
        <v>37.7</v>
      </c>
      <c r="R562" s="514"/>
      <c r="S562" s="514"/>
      <c r="T562" s="237"/>
      <c r="U562" s="244"/>
      <c r="V562" s="223"/>
      <c r="W562" s="223"/>
      <c r="X562" s="223"/>
      <c r="Y562" s="223"/>
      <c r="Z562" s="223"/>
      <c r="AA562" s="223"/>
      <c r="AB562" s="223"/>
      <c r="AC562" s="223"/>
      <c r="AD562" s="223"/>
      <c r="AE562" s="223"/>
      <c r="AF562" s="223"/>
      <c r="AG562" s="223"/>
      <c r="AH562" s="223"/>
      <c r="AI562" s="223"/>
      <c r="AJ562" s="223"/>
      <c r="AK562" s="223"/>
      <c r="AL562" s="223"/>
      <c r="AM562" s="223"/>
    </row>
    <row r="563" spans="1:39" s="196" customFormat="1" ht="19.5" customHeight="1">
      <c r="A563" s="263"/>
      <c r="B563" s="511" t="s">
        <v>397</v>
      </c>
      <c r="C563" s="304" t="s">
        <v>1267</v>
      </c>
      <c r="D563" s="502" t="s">
        <v>335</v>
      </c>
      <c r="E563" s="512"/>
      <c r="F563" s="513"/>
      <c r="G563" s="513"/>
      <c r="H563" s="513"/>
      <c r="I563" s="237"/>
      <c r="J563" s="237"/>
      <c r="K563" s="237"/>
      <c r="L563" s="514"/>
      <c r="M563" s="514"/>
      <c r="N563" s="515">
        <f t="shared" si="280"/>
        <v>36.4</v>
      </c>
      <c r="O563" s="515"/>
      <c r="P563" s="515">
        <f aca="true" t="shared" si="281" ref="P563:P568">SUM(Q563:S563)</f>
        <v>36.4</v>
      </c>
      <c r="Q563" s="488">
        <v>36.4</v>
      </c>
      <c r="R563" s="514"/>
      <c r="S563" s="514"/>
      <c r="T563" s="237"/>
      <c r="U563" s="244"/>
      <c r="V563" s="223"/>
      <c r="W563" s="223"/>
      <c r="X563" s="223"/>
      <c r="Y563" s="223"/>
      <c r="Z563" s="223"/>
      <c r="AA563" s="223"/>
      <c r="AB563" s="223"/>
      <c r="AC563" s="223"/>
      <c r="AD563" s="223"/>
      <c r="AE563" s="223"/>
      <c r="AF563" s="223"/>
      <c r="AG563" s="223"/>
      <c r="AH563" s="223"/>
      <c r="AI563" s="223"/>
      <c r="AJ563" s="223"/>
      <c r="AK563" s="223"/>
      <c r="AL563" s="223"/>
      <c r="AM563" s="223"/>
    </row>
    <row r="564" spans="1:39" s="196" customFormat="1" ht="19.5" customHeight="1">
      <c r="A564" s="263"/>
      <c r="B564" s="511" t="s">
        <v>398</v>
      </c>
      <c r="C564" s="304" t="s">
        <v>1267</v>
      </c>
      <c r="D564" s="502" t="s">
        <v>335</v>
      </c>
      <c r="E564" s="512"/>
      <c r="F564" s="513"/>
      <c r="G564" s="513"/>
      <c r="H564" s="513"/>
      <c r="I564" s="237"/>
      <c r="J564" s="237"/>
      <c r="K564" s="237"/>
      <c r="L564" s="514"/>
      <c r="M564" s="514"/>
      <c r="N564" s="515">
        <f t="shared" si="280"/>
        <v>84.5</v>
      </c>
      <c r="O564" s="515"/>
      <c r="P564" s="515">
        <f t="shared" si="281"/>
        <v>84.5</v>
      </c>
      <c r="Q564" s="488">
        <v>84.5</v>
      </c>
      <c r="R564" s="514"/>
      <c r="S564" s="514"/>
      <c r="T564" s="237"/>
      <c r="U564" s="244"/>
      <c r="V564" s="223"/>
      <c r="W564" s="223"/>
      <c r="X564" s="223"/>
      <c r="Y564" s="223"/>
      <c r="Z564" s="223"/>
      <c r="AA564" s="223"/>
      <c r="AB564" s="223"/>
      <c r="AC564" s="223"/>
      <c r="AD564" s="223"/>
      <c r="AE564" s="223"/>
      <c r="AF564" s="223"/>
      <c r="AG564" s="223"/>
      <c r="AH564" s="223"/>
      <c r="AI564" s="223"/>
      <c r="AJ564" s="223"/>
      <c r="AK564" s="223"/>
      <c r="AL564" s="223"/>
      <c r="AM564" s="223"/>
    </row>
    <row r="565" spans="1:39" s="196" customFormat="1" ht="19.5" customHeight="1">
      <c r="A565" s="263"/>
      <c r="B565" s="511" t="s">
        <v>399</v>
      </c>
      <c r="C565" s="304" t="s">
        <v>1267</v>
      </c>
      <c r="D565" s="502" t="s">
        <v>335</v>
      </c>
      <c r="E565" s="512"/>
      <c r="F565" s="513"/>
      <c r="G565" s="513"/>
      <c r="H565" s="513"/>
      <c r="I565" s="237"/>
      <c r="J565" s="237"/>
      <c r="K565" s="237"/>
      <c r="L565" s="514"/>
      <c r="M565" s="514"/>
      <c r="N565" s="515">
        <f t="shared" si="280"/>
        <v>102.7</v>
      </c>
      <c r="O565" s="515"/>
      <c r="P565" s="515">
        <f t="shared" si="281"/>
        <v>102.7</v>
      </c>
      <c r="Q565" s="488">
        <v>102.7</v>
      </c>
      <c r="R565" s="514"/>
      <c r="S565" s="514"/>
      <c r="T565" s="237"/>
      <c r="U565" s="244"/>
      <c r="V565" s="223"/>
      <c r="W565" s="223"/>
      <c r="X565" s="223"/>
      <c r="Y565" s="223"/>
      <c r="Z565" s="223"/>
      <c r="AA565" s="223"/>
      <c r="AB565" s="223"/>
      <c r="AC565" s="223"/>
      <c r="AD565" s="223"/>
      <c r="AE565" s="223"/>
      <c r="AF565" s="223"/>
      <c r="AG565" s="223"/>
      <c r="AH565" s="223"/>
      <c r="AI565" s="223"/>
      <c r="AJ565" s="223"/>
      <c r="AK565" s="223"/>
      <c r="AL565" s="223"/>
      <c r="AM565" s="223"/>
    </row>
    <row r="566" spans="1:39" s="196" customFormat="1" ht="19.5" customHeight="1">
      <c r="A566" s="263"/>
      <c r="B566" s="511" t="s">
        <v>400</v>
      </c>
      <c r="C566" s="304" t="s">
        <v>1267</v>
      </c>
      <c r="D566" s="502" t="s">
        <v>335</v>
      </c>
      <c r="E566" s="512"/>
      <c r="F566" s="513"/>
      <c r="G566" s="513"/>
      <c r="H566" s="513"/>
      <c r="I566" s="237"/>
      <c r="J566" s="237"/>
      <c r="K566" s="237"/>
      <c r="L566" s="514"/>
      <c r="M566" s="514"/>
      <c r="N566" s="515">
        <f t="shared" si="280"/>
        <v>35.1</v>
      </c>
      <c r="O566" s="515"/>
      <c r="P566" s="515">
        <f t="shared" si="281"/>
        <v>35.1</v>
      </c>
      <c r="Q566" s="488">
        <v>35.1</v>
      </c>
      <c r="R566" s="514"/>
      <c r="S566" s="514"/>
      <c r="T566" s="237"/>
      <c r="U566" s="244"/>
      <c r="V566" s="223"/>
      <c r="W566" s="223"/>
      <c r="X566" s="223"/>
      <c r="Y566" s="223"/>
      <c r="Z566" s="223"/>
      <c r="AA566" s="223"/>
      <c r="AB566" s="223"/>
      <c r="AC566" s="223"/>
      <c r="AD566" s="223"/>
      <c r="AE566" s="223"/>
      <c r="AF566" s="223"/>
      <c r="AG566" s="223"/>
      <c r="AH566" s="223"/>
      <c r="AI566" s="223"/>
      <c r="AJ566" s="223"/>
      <c r="AK566" s="223"/>
      <c r="AL566" s="223"/>
      <c r="AM566" s="223"/>
    </row>
    <row r="567" spans="1:39" s="196" customFormat="1" ht="19.5" customHeight="1">
      <c r="A567" s="263"/>
      <c r="B567" s="511" t="s">
        <v>401</v>
      </c>
      <c r="C567" s="304" t="s">
        <v>1267</v>
      </c>
      <c r="D567" s="502" t="s">
        <v>335</v>
      </c>
      <c r="E567" s="512"/>
      <c r="F567" s="513"/>
      <c r="G567" s="513"/>
      <c r="H567" s="513"/>
      <c r="I567" s="237"/>
      <c r="J567" s="237"/>
      <c r="K567" s="237"/>
      <c r="L567" s="514"/>
      <c r="M567" s="514"/>
      <c r="N567" s="515">
        <f t="shared" si="280"/>
        <v>50.7</v>
      </c>
      <c r="O567" s="515"/>
      <c r="P567" s="515">
        <f t="shared" si="281"/>
        <v>50.7</v>
      </c>
      <c r="Q567" s="488">
        <v>50.7</v>
      </c>
      <c r="R567" s="514"/>
      <c r="S567" s="514"/>
      <c r="T567" s="237"/>
      <c r="U567" s="244"/>
      <c r="V567" s="223"/>
      <c r="W567" s="223"/>
      <c r="X567" s="223"/>
      <c r="Y567" s="223"/>
      <c r="Z567" s="223"/>
      <c r="AA567" s="223"/>
      <c r="AB567" s="223"/>
      <c r="AC567" s="223"/>
      <c r="AD567" s="223"/>
      <c r="AE567" s="223"/>
      <c r="AF567" s="223"/>
      <c r="AG567" s="223"/>
      <c r="AH567" s="223"/>
      <c r="AI567" s="223"/>
      <c r="AJ567" s="223"/>
      <c r="AK567" s="223"/>
      <c r="AL567" s="223"/>
      <c r="AM567" s="223"/>
    </row>
    <row r="568" spans="1:39" s="196" customFormat="1" ht="19.5" customHeight="1">
      <c r="A568" s="263"/>
      <c r="B568" s="511" t="s">
        <v>402</v>
      </c>
      <c r="C568" s="304" t="s">
        <v>1267</v>
      </c>
      <c r="D568" s="502" t="s">
        <v>335</v>
      </c>
      <c r="E568" s="512"/>
      <c r="F568" s="513"/>
      <c r="G568" s="513"/>
      <c r="H568" s="513"/>
      <c r="I568" s="237"/>
      <c r="J568" s="237"/>
      <c r="K568" s="237"/>
      <c r="L568" s="514"/>
      <c r="M568" s="514"/>
      <c r="N568" s="515">
        <f t="shared" si="280"/>
        <v>52</v>
      </c>
      <c r="O568" s="515"/>
      <c r="P568" s="515">
        <f t="shared" si="281"/>
        <v>52</v>
      </c>
      <c r="Q568" s="488">
        <v>52</v>
      </c>
      <c r="R568" s="514"/>
      <c r="S568" s="514"/>
      <c r="T568" s="237"/>
      <c r="U568" s="244"/>
      <c r="V568" s="223"/>
      <c r="W568" s="223"/>
      <c r="X568" s="223"/>
      <c r="Y568" s="223"/>
      <c r="Z568" s="223"/>
      <c r="AA568" s="223"/>
      <c r="AB568" s="223"/>
      <c r="AC568" s="223"/>
      <c r="AD568" s="223"/>
      <c r="AE568" s="223"/>
      <c r="AF568" s="223"/>
      <c r="AG568" s="223"/>
      <c r="AH568" s="223"/>
      <c r="AI568" s="223"/>
      <c r="AJ568" s="223"/>
      <c r="AK568" s="223"/>
      <c r="AL568" s="223"/>
      <c r="AM568" s="223"/>
    </row>
    <row r="569" spans="1:39" s="196" customFormat="1" ht="19.5" customHeight="1">
      <c r="A569" s="263"/>
      <c r="B569" s="396" t="s">
        <v>403</v>
      </c>
      <c r="C569" s="304" t="s">
        <v>394</v>
      </c>
      <c r="D569" s="490"/>
      <c r="E569" s="305"/>
      <c r="F569" s="244"/>
      <c r="G569" s="244"/>
      <c r="H569" s="244"/>
      <c r="I569" s="237">
        <f>SUM(K569,M569)</f>
        <v>1430</v>
      </c>
      <c r="J569" s="237"/>
      <c r="K569" s="237">
        <v>1430</v>
      </c>
      <c r="L569" s="237"/>
      <c r="M569" s="237"/>
      <c r="N569" s="237">
        <f>SUM(P569,U569)</f>
        <v>1429.7</v>
      </c>
      <c r="O569" s="237"/>
      <c r="P569" s="237">
        <f>SUM(Q569:S569)</f>
        <v>1429.7</v>
      </c>
      <c r="Q569" s="237">
        <v>1429.7</v>
      </c>
      <c r="R569" s="237"/>
      <c r="S569" s="237"/>
      <c r="T569" s="237"/>
      <c r="U569" s="244"/>
      <c r="V569" s="223"/>
      <c r="W569" s="223"/>
      <c r="X569" s="223"/>
      <c r="Y569" s="223"/>
      <c r="Z569" s="223"/>
      <c r="AA569" s="223"/>
      <c r="AB569" s="223"/>
      <c r="AC569" s="223"/>
      <c r="AD569" s="223"/>
      <c r="AE569" s="223"/>
      <c r="AF569" s="223"/>
      <c r="AG569" s="223"/>
      <c r="AH569" s="223"/>
      <c r="AI569" s="223"/>
      <c r="AJ569" s="223"/>
      <c r="AK569" s="223"/>
      <c r="AL569" s="223"/>
      <c r="AM569" s="223"/>
    </row>
    <row r="570" spans="1:39" s="196" customFormat="1" ht="19.5" customHeight="1">
      <c r="A570" s="263"/>
      <c r="B570" s="396" t="s">
        <v>380</v>
      </c>
      <c r="C570" s="304" t="s">
        <v>1267</v>
      </c>
      <c r="D570" s="490"/>
      <c r="E570" s="305"/>
      <c r="F570" s="244"/>
      <c r="G570" s="244"/>
      <c r="H570" s="244"/>
      <c r="I570" s="237">
        <f>SUM(K570,M570)</f>
        <v>2496</v>
      </c>
      <c r="J570" s="237"/>
      <c r="K570" s="237">
        <v>2496</v>
      </c>
      <c r="L570" s="237"/>
      <c r="M570" s="237"/>
      <c r="N570" s="237">
        <f>SUM(P570,U570)</f>
        <v>2496</v>
      </c>
      <c r="O570" s="237"/>
      <c r="P570" s="237">
        <f>SUM(Q570:S570)</f>
        <v>2496</v>
      </c>
      <c r="Q570" s="237">
        <v>2496</v>
      </c>
      <c r="R570" s="237"/>
      <c r="S570" s="237"/>
      <c r="T570" s="237"/>
      <c r="U570" s="244"/>
      <c r="V570" s="223"/>
      <c r="W570" s="223"/>
      <c r="X570" s="223"/>
      <c r="Y570" s="223"/>
      <c r="Z570" s="223"/>
      <c r="AA570" s="223"/>
      <c r="AB570" s="223"/>
      <c r="AC570" s="223"/>
      <c r="AD570" s="223"/>
      <c r="AE570" s="223"/>
      <c r="AF570" s="223"/>
      <c r="AG570" s="223"/>
      <c r="AH570" s="223"/>
      <c r="AI570" s="223"/>
      <c r="AJ570" s="223"/>
      <c r="AK570" s="223"/>
      <c r="AL570" s="223"/>
      <c r="AM570" s="223"/>
    </row>
    <row r="571" spans="1:39" s="196" customFormat="1" ht="19.5" customHeight="1">
      <c r="A571" s="263"/>
      <c r="B571" s="396" t="s">
        <v>404</v>
      </c>
      <c r="C571" s="304" t="s">
        <v>1267</v>
      </c>
      <c r="D571" s="490"/>
      <c r="E571" s="305"/>
      <c r="F571" s="244"/>
      <c r="G571" s="244"/>
      <c r="H571" s="244"/>
      <c r="I571" s="237">
        <f>SUM(K571,M571)</f>
        <v>28</v>
      </c>
      <c r="J571" s="237"/>
      <c r="K571" s="237">
        <v>28</v>
      </c>
      <c r="L571" s="237"/>
      <c r="M571" s="237"/>
      <c r="N571" s="237">
        <f>SUM(P571,U571)</f>
        <v>23.4</v>
      </c>
      <c r="O571" s="237"/>
      <c r="P571" s="237">
        <f>SUM(Q571:S571)</f>
        <v>23.4</v>
      </c>
      <c r="Q571" s="237">
        <v>23.4</v>
      </c>
      <c r="R571" s="237"/>
      <c r="S571" s="237"/>
      <c r="T571" s="237"/>
      <c r="U571" s="244"/>
      <c r="V571" s="223"/>
      <c r="W571" s="223"/>
      <c r="X571" s="223"/>
      <c r="Y571" s="223"/>
      <c r="Z571" s="223"/>
      <c r="AA571" s="223"/>
      <c r="AB571" s="223"/>
      <c r="AC571" s="223"/>
      <c r="AD571" s="223"/>
      <c r="AE571" s="223"/>
      <c r="AF571" s="223"/>
      <c r="AG571" s="223"/>
      <c r="AH571" s="223"/>
      <c r="AI571" s="223"/>
      <c r="AJ571" s="223"/>
      <c r="AK571" s="223"/>
      <c r="AL571" s="223"/>
      <c r="AM571" s="223"/>
    </row>
    <row r="572" spans="1:39" s="196" customFormat="1" ht="19.5" customHeight="1">
      <c r="A572" s="263"/>
      <c r="B572" s="396" t="s">
        <v>381</v>
      </c>
      <c r="C572" s="304" t="s">
        <v>1267</v>
      </c>
      <c r="D572" s="490"/>
      <c r="E572" s="305"/>
      <c r="F572" s="244"/>
      <c r="G572" s="244"/>
      <c r="H572" s="244"/>
      <c r="I572" s="237">
        <f>SUM(K572,M572)</f>
        <v>2356.5</v>
      </c>
      <c r="J572" s="237"/>
      <c r="K572" s="237">
        <v>2356.5</v>
      </c>
      <c r="L572" s="237"/>
      <c r="M572" s="237"/>
      <c r="N572" s="237">
        <f>SUM(P572,U572)</f>
        <v>2184</v>
      </c>
      <c r="O572" s="237"/>
      <c r="P572" s="237">
        <f>SUM(Q572:S572)</f>
        <v>2184</v>
      </c>
      <c r="Q572" s="237">
        <v>2184</v>
      </c>
      <c r="R572" s="237"/>
      <c r="S572" s="237"/>
      <c r="T572" s="237"/>
      <c r="U572" s="244"/>
      <c r="V572" s="223"/>
      <c r="W572" s="223"/>
      <c r="X572" s="223"/>
      <c r="Y572" s="223"/>
      <c r="Z572" s="223"/>
      <c r="AA572" s="223"/>
      <c r="AB572" s="223"/>
      <c r="AC572" s="223"/>
      <c r="AD572" s="223"/>
      <c r="AE572" s="223"/>
      <c r="AF572" s="223"/>
      <c r="AG572" s="223"/>
      <c r="AH572" s="223"/>
      <c r="AI572" s="223"/>
      <c r="AJ572" s="223"/>
      <c r="AK572" s="223"/>
      <c r="AL572" s="223"/>
      <c r="AM572" s="223"/>
    </row>
    <row r="573" spans="1:39" s="196" customFormat="1" ht="19.5" customHeight="1">
      <c r="A573" s="275" t="s">
        <v>986</v>
      </c>
      <c r="B573" s="287" t="s">
        <v>406</v>
      </c>
      <c r="C573" s="288"/>
      <c r="D573" s="455"/>
      <c r="E573" s="289"/>
      <c r="F573" s="291"/>
      <c r="G573" s="291"/>
      <c r="H573" s="291"/>
      <c r="I573" s="282">
        <f>SUM(I574:I580)</f>
        <v>2615</v>
      </c>
      <c r="J573" s="282">
        <f>SUM(J574:J580)</f>
        <v>0</v>
      </c>
      <c r="K573" s="282">
        <f>SUM(K574:K580)</f>
        <v>2615</v>
      </c>
      <c r="L573" s="282">
        <f>SUM(L574:L579)</f>
        <v>0</v>
      </c>
      <c r="M573" s="282">
        <f>SUM(M574:M579)</f>
        <v>0</v>
      </c>
      <c r="N573" s="282">
        <f>SUM(N574:N580)</f>
        <v>2272.88</v>
      </c>
      <c r="O573" s="282">
        <f>SUM(O574:O580)</f>
        <v>0</v>
      </c>
      <c r="P573" s="282">
        <f>SUM(P574:P580)</f>
        <v>2272.88</v>
      </c>
      <c r="Q573" s="282">
        <f>SUM(Q574:Q580)</f>
        <v>2272.88</v>
      </c>
      <c r="R573" s="282">
        <f>SUM(R574:R580)</f>
        <v>0</v>
      </c>
      <c r="S573" s="282">
        <f>SUM(S574:S577)</f>
        <v>0</v>
      </c>
      <c r="T573" s="282"/>
      <c r="U573" s="291"/>
      <c r="V573" s="223"/>
      <c r="W573" s="223"/>
      <c r="X573" s="223"/>
      <c r="Y573" s="223"/>
      <c r="Z573" s="223"/>
      <c r="AA573" s="223"/>
      <c r="AB573" s="223"/>
      <c r="AC573" s="223"/>
      <c r="AD573" s="223"/>
      <c r="AE573" s="223"/>
      <c r="AF573" s="223"/>
      <c r="AG573" s="223"/>
      <c r="AH573" s="223"/>
      <c r="AI573" s="223"/>
      <c r="AJ573" s="223"/>
      <c r="AK573" s="223"/>
      <c r="AL573" s="223"/>
      <c r="AM573" s="223"/>
    </row>
    <row r="574" spans="1:40" s="506" customFormat="1" ht="19.5" customHeight="1">
      <c r="A574" s="216"/>
      <c r="B574" s="478" t="s">
        <v>1690</v>
      </c>
      <c r="C574" s="502" t="s">
        <v>394</v>
      </c>
      <c r="D574" s="502" t="s">
        <v>335</v>
      </c>
      <c r="E574" s="503"/>
      <c r="F574" s="504"/>
      <c r="G574" s="504"/>
      <c r="H574" s="504"/>
      <c r="I574" s="237">
        <f aca="true" t="shared" si="282" ref="I574:I580">SUM(K574,M574)</f>
        <v>770</v>
      </c>
      <c r="J574" s="237"/>
      <c r="K574" s="237">
        <v>770</v>
      </c>
      <c r="L574" s="237"/>
      <c r="M574" s="237"/>
      <c r="N574" s="239">
        <f>+O574+Q574</f>
        <v>737.38</v>
      </c>
      <c r="O574" s="239"/>
      <c r="P574" s="239">
        <f>SUM(Q574:S574)</f>
        <v>737.38</v>
      </c>
      <c r="Q574" s="505">
        <v>737.38</v>
      </c>
      <c r="R574" s="307"/>
      <c r="S574" s="307"/>
      <c r="T574" s="307"/>
      <c r="U574" s="306"/>
      <c r="V574" s="240"/>
      <c r="W574" s="240"/>
      <c r="X574" s="240"/>
      <c r="Y574" s="240"/>
      <c r="Z574" s="308"/>
      <c r="AA574" s="308"/>
      <c r="AB574" s="241"/>
      <c r="AC574" s="242"/>
      <c r="AD574" s="259"/>
      <c r="AE574" s="308"/>
      <c r="AF574" s="308"/>
      <c r="AG574" s="240"/>
      <c r="AH574" s="240"/>
      <c r="AI574" s="240"/>
      <c r="AJ574" s="240"/>
      <c r="AK574" s="308"/>
      <c r="AL574" s="244"/>
      <c r="AM574" s="236"/>
      <c r="AN574" s="378"/>
    </row>
    <row r="575" spans="1:40" s="506" customFormat="1" ht="19.5" customHeight="1">
      <c r="A575" s="216"/>
      <c r="B575" s="478" t="s">
        <v>407</v>
      </c>
      <c r="C575" s="502" t="s">
        <v>394</v>
      </c>
      <c r="D575" s="502"/>
      <c r="E575" s="503"/>
      <c r="F575" s="504"/>
      <c r="G575" s="504"/>
      <c r="H575" s="504"/>
      <c r="I575" s="237">
        <f t="shared" si="282"/>
        <v>315</v>
      </c>
      <c r="J575" s="237"/>
      <c r="K575" s="237">
        <v>315</v>
      </c>
      <c r="L575" s="237"/>
      <c r="M575" s="237"/>
      <c r="N575" s="239">
        <f>+O575+Q575</f>
        <v>315</v>
      </c>
      <c r="O575" s="239"/>
      <c r="P575" s="239">
        <f>SUM(Q575:S575)</f>
        <v>315</v>
      </c>
      <c r="Q575" s="505">
        <v>315</v>
      </c>
      <c r="R575" s="307"/>
      <c r="S575" s="307"/>
      <c r="T575" s="307"/>
      <c r="U575" s="306"/>
      <c r="V575" s="240"/>
      <c r="W575" s="240"/>
      <c r="X575" s="240"/>
      <c r="Y575" s="240"/>
      <c r="Z575" s="308"/>
      <c r="AA575" s="308"/>
      <c r="AB575" s="241"/>
      <c r="AC575" s="242"/>
      <c r="AD575" s="259"/>
      <c r="AE575" s="308"/>
      <c r="AF575" s="308"/>
      <c r="AG575" s="240"/>
      <c r="AH575" s="240"/>
      <c r="AI575" s="240"/>
      <c r="AJ575" s="240"/>
      <c r="AK575" s="308"/>
      <c r="AL575" s="244"/>
      <c r="AM575" s="236"/>
      <c r="AN575" s="378"/>
    </row>
    <row r="576" spans="1:40" s="506" customFormat="1" ht="19.5" customHeight="1">
      <c r="A576" s="216"/>
      <c r="B576" s="478" t="s">
        <v>408</v>
      </c>
      <c r="C576" s="502" t="s">
        <v>394</v>
      </c>
      <c r="D576" s="502"/>
      <c r="E576" s="503"/>
      <c r="F576" s="504"/>
      <c r="G576" s="504"/>
      <c r="H576" s="504"/>
      <c r="I576" s="237">
        <f t="shared" si="282"/>
        <v>400</v>
      </c>
      <c r="J576" s="237"/>
      <c r="K576" s="237">
        <v>400</v>
      </c>
      <c r="L576" s="237"/>
      <c r="M576" s="237"/>
      <c r="N576" s="239">
        <f>+O576+Q576</f>
        <v>400</v>
      </c>
      <c r="O576" s="239"/>
      <c r="P576" s="239">
        <f>SUM(Q576:S576)</f>
        <v>400</v>
      </c>
      <c r="Q576" s="505">
        <v>400</v>
      </c>
      <c r="R576" s="307"/>
      <c r="S576" s="307"/>
      <c r="T576" s="307"/>
      <c r="U576" s="306"/>
      <c r="V576" s="240"/>
      <c r="W576" s="240"/>
      <c r="X576" s="240"/>
      <c r="Y576" s="240"/>
      <c r="Z576" s="308"/>
      <c r="AA576" s="308"/>
      <c r="AB576" s="241"/>
      <c r="AC576" s="242"/>
      <c r="AD576" s="259"/>
      <c r="AE576" s="308"/>
      <c r="AF576" s="308"/>
      <c r="AG576" s="240"/>
      <c r="AH576" s="240"/>
      <c r="AI576" s="240"/>
      <c r="AJ576" s="240"/>
      <c r="AK576" s="308"/>
      <c r="AL576" s="244"/>
      <c r="AM576" s="236"/>
      <c r="AN576" s="378"/>
    </row>
    <row r="577" spans="1:40" s="506" customFormat="1" ht="19.5" customHeight="1">
      <c r="A577" s="216"/>
      <c r="B577" s="478" t="s">
        <v>409</v>
      </c>
      <c r="C577" s="502" t="s">
        <v>394</v>
      </c>
      <c r="D577" s="502"/>
      <c r="E577" s="503"/>
      <c r="F577" s="504"/>
      <c r="G577" s="504"/>
      <c r="H577" s="504"/>
      <c r="I577" s="237">
        <f t="shared" si="282"/>
        <v>725</v>
      </c>
      <c r="J577" s="237"/>
      <c r="K577" s="237">
        <v>725</v>
      </c>
      <c r="L577" s="237"/>
      <c r="M577" s="237"/>
      <c r="N577" s="239">
        <f>+O577+Q577</f>
        <v>710.5</v>
      </c>
      <c r="O577" s="239"/>
      <c r="P577" s="239">
        <f>SUM(Q577:S577)</f>
        <v>710.5</v>
      </c>
      <c r="Q577" s="505">
        <v>710.5</v>
      </c>
      <c r="R577" s="307"/>
      <c r="S577" s="307"/>
      <c r="T577" s="307"/>
      <c r="U577" s="306"/>
      <c r="V577" s="240"/>
      <c r="W577" s="240"/>
      <c r="X577" s="240"/>
      <c r="Y577" s="240"/>
      <c r="Z577" s="308"/>
      <c r="AA577" s="308"/>
      <c r="AB577" s="241"/>
      <c r="AC577" s="242"/>
      <c r="AD577" s="259"/>
      <c r="AE577" s="308"/>
      <c r="AF577" s="308"/>
      <c r="AG577" s="240"/>
      <c r="AH577" s="240"/>
      <c r="AI577" s="240"/>
      <c r="AJ577" s="240"/>
      <c r="AK577" s="308"/>
      <c r="AL577" s="244"/>
      <c r="AM577" s="236"/>
      <c r="AN577" s="378"/>
    </row>
    <row r="578" spans="1:40" s="506" customFormat="1" ht="19.5" customHeight="1">
      <c r="A578" s="216"/>
      <c r="B578" s="478" t="s">
        <v>1691</v>
      </c>
      <c r="C578" s="502" t="s">
        <v>394</v>
      </c>
      <c r="D578" s="502"/>
      <c r="E578" s="503"/>
      <c r="F578" s="504"/>
      <c r="G578" s="504"/>
      <c r="H578" s="504"/>
      <c r="I578" s="237">
        <f t="shared" si="282"/>
        <v>10</v>
      </c>
      <c r="J578" s="237"/>
      <c r="K578" s="237">
        <v>10</v>
      </c>
      <c r="L578" s="237"/>
      <c r="M578" s="237"/>
      <c r="N578" s="239">
        <f>+O578+Q578</f>
        <v>10</v>
      </c>
      <c r="O578" s="239"/>
      <c r="P578" s="239">
        <f>SUM(Q578:S578)</f>
        <v>10</v>
      </c>
      <c r="Q578" s="505">
        <v>10</v>
      </c>
      <c r="R578" s="307"/>
      <c r="S578" s="307"/>
      <c r="T578" s="307"/>
      <c r="U578" s="306"/>
      <c r="V578" s="240"/>
      <c r="W578" s="240"/>
      <c r="X578" s="240"/>
      <c r="Y578" s="240"/>
      <c r="Z578" s="308"/>
      <c r="AA578" s="308"/>
      <c r="AB578" s="241"/>
      <c r="AC578" s="242"/>
      <c r="AD578" s="259"/>
      <c r="AE578" s="308"/>
      <c r="AF578" s="308"/>
      <c r="AG578" s="240"/>
      <c r="AH578" s="240"/>
      <c r="AI578" s="240"/>
      <c r="AJ578" s="240"/>
      <c r="AK578" s="308"/>
      <c r="AL578" s="244"/>
      <c r="AM578" s="236"/>
      <c r="AN578" s="378"/>
    </row>
    <row r="579" spans="1:40" s="506" customFormat="1" ht="19.5" customHeight="1">
      <c r="A579" s="216"/>
      <c r="B579" s="478" t="s">
        <v>410</v>
      </c>
      <c r="C579" s="502" t="s">
        <v>394</v>
      </c>
      <c r="D579" s="502"/>
      <c r="E579" s="503"/>
      <c r="F579" s="504"/>
      <c r="G579" s="504"/>
      <c r="H579" s="504"/>
      <c r="I579" s="237">
        <f t="shared" si="282"/>
        <v>295</v>
      </c>
      <c r="J579" s="237"/>
      <c r="K579" s="237">
        <v>295</v>
      </c>
      <c r="L579" s="237"/>
      <c r="M579" s="237"/>
      <c r="N579" s="239"/>
      <c r="O579" s="239"/>
      <c r="P579" s="239"/>
      <c r="Q579" s="505"/>
      <c r="R579" s="307"/>
      <c r="S579" s="307"/>
      <c r="T579" s="307"/>
      <c r="U579" s="306"/>
      <c r="V579" s="240"/>
      <c r="W579" s="240"/>
      <c r="X579" s="240"/>
      <c r="Y579" s="240"/>
      <c r="Z579" s="308"/>
      <c r="AA579" s="308"/>
      <c r="AB579" s="241"/>
      <c r="AC579" s="242"/>
      <c r="AD579" s="259"/>
      <c r="AE579" s="308"/>
      <c r="AF579" s="308"/>
      <c r="AG579" s="240"/>
      <c r="AH579" s="240"/>
      <c r="AI579" s="240"/>
      <c r="AJ579" s="240"/>
      <c r="AK579" s="308"/>
      <c r="AL579" s="244"/>
      <c r="AM579" s="236"/>
      <c r="AN579" s="378"/>
    </row>
    <row r="580" spans="1:40" s="506" customFormat="1" ht="19.5" customHeight="1">
      <c r="A580" s="216"/>
      <c r="B580" s="478" t="s">
        <v>1689</v>
      </c>
      <c r="C580" s="502" t="s">
        <v>394</v>
      </c>
      <c r="D580" s="502"/>
      <c r="E580" s="503"/>
      <c r="F580" s="504"/>
      <c r="G580" s="504"/>
      <c r="H580" s="504"/>
      <c r="I580" s="237">
        <f t="shared" si="282"/>
        <v>100</v>
      </c>
      <c r="J580" s="237"/>
      <c r="K580" s="237">
        <v>100</v>
      </c>
      <c r="L580" s="237"/>
      <c r="M580" s="237"/>
      <c r="N580" s="239">
        <f>+O580+Q580</f>
        <v>100</v>
      </c>
      <c r="O580" s="239"/>
      <c r="P580" s="239">
        <f>SUM(Q580:S580)</f>
        <v>100</v>
      </c>
      <c r="Q580" s="505">
        <v>100</v>
      </c>
      <c r="R580" s="307"/>
      <c r="S580" s="307"/>
      <c r="T580" s="307"/>
      <c r="U580" s="306"/>
      <c r="V580" s="240"/>
      <c r="W580" s="240"/>
      <c r="X580" s="240"/>
      <c r="Y580" s="240"/>
      <c r="Z580" s="308"/>
      <c r="AA580" s="308"/>
      <c r="AB580" s="241"/>
      <c r="AC580" s="242"/>
      <c r="AD580" s="259"/>
      <c r="AE580" s="308"/>
      <c r="AF580" s="308"/>
      <c r="AG580" s="240"/>
      <c r="AH580" s="240"/>
      <c r="AI580" s="240"/>
      <c r="AJ580" s="240"/>
      <c r="AK580" s="308"/>
      <c r="AL580" s="244"/>
      <c r="AM580" s="236"/>
      <c r="AN580" s="378"/>
    </row>
    <row r="581" spans="1:40" s="506" customFormat="1" ht="19.5" customHeight="1">
      <c r="A581" s="275" t="s">
        <v>987</v>
      </c>
      <c r="B581" s="498" t="s">
        <v>412</v>
      </c>
      <c r="C581" s="508"/>
      <c r="D581" s="508"/>
      <c r="E581" s="509"/>
      <c r="F581" s="510"/>
      <c r="G581" s="510"/>
      <c r="H581" s="510"/>
      <c r="I581" s="282">
        <f>SUM(I582:I585)</f>
        <v>2850</v>
      </c>
      <c r="J581" s="282">
        <f>SUM(J582:J585)</f>
        <v>0</v>
      </c>
      <c r="K581" s="282">
        <f>SUM(K582:K585)</f>
        <v>2850</v>
      </c>
      <c r="L581" s="282">
        <f>SUM(L582:L585)</f>
        <v>0</v>
      </c>
      <c r="M581" s="282">
        <f>SUM(M582:M585)</f>
        <v>0</v>
      </c>
      <c r="N581" s="296">
        <f>SUM(N583:N585)</f>
        <v>1885.12</v>
      </c>
      <c r="O581" s="296">
        <f>SUM(O583:O585)</f>
        <v>0</v>
      </c>
      <c r="P581" s="296">
        <f>SUM(P583:P585)</f>
        <v>1885.12</v>
      </c>
      <c r="Q581" s="296">
        <f>SUM(Q583:Q585)</f>
        <v>1885.12</v>
      </c>
      <c r="R581" s="296">
        <f>SUM(R583:R585)</f>
        <v>0</v>
      </c>
      <c r="S581" s="295"/>
      <c r="T581" s="295"/>
      <c r="U581" s="290"/>
      <c r="V581" s="240"/>
      <c r="W581" s="240"/>
      <c r="X581" s="240"/>
      <c r="Y581" s="240"/>
      <c r="Z581" s="308"/>
      <c r="AA581" s="308"/>
      <c r="AB581" s="241"/>
      <c r="AC581" s="242"/>
      <c r="AD581" s="259"/>
      <c r="AE581" s="308"/>
      <c r="AF581" s="308"/>
      <c r="AG581" s="240"/>
      <c r="AH581" s="240"/>
      <c r="AI581" s="240"/>
      <c r="AJ581" s="240"/>
      <c r="AK581" s="308"/>
      <c r="AL581" s="244"/>
      <c r="AM581" s="236"/>
      <c r="AN581" s="378"/>
    </row>
    <row r="582" spans="1:40" s="506" customFormat="1" ht="19.5" customHeight="1">
      <c r="A582" s="275"/>
      <c r="B582" s="478" t="s">
        <v>413</v>
      </c>
      <c r="C582" s="502"/>
      <c r="D582" s="502"/>
      <c r="E582" s="503"/>
      <c r="F582" s="504"/>
      <c r="G582" s="504"/>
      <c r="H582" s="504"/>
      <c r="I582" s="237">
        <f>SUM(K582,M582)</f>
        <v>150</v>
      </c>
      <c r="J582" s="237"/>
      <c r="K582" s="237">
        <v>150</v>
      </c>
      <c r="L582" s="237"/>
      <c r="M582" s="237"/>
      <c r="N582" s="239"/>
      <c r="O582" s="239"/>
      <c r="P582" s="239"/>
      <c r="Q582" s="239"/>
      <c r="R582" s="239"/>
      <c r="S582" s="307"/>
      <c r="T582" s="295"/>
      <c r="U582" s="290"/>
      <c r="V582" s="240"/>
      <c r="W582" s="240"/>
      <c r="X582" s="240"/>
      <c r="Y582" s="240"/>
      <c r="Z582" s="308"/>
      <c r="AA582" s="308"/>
      <c r="AB582" s="241"/>
      <c r="AC582" s="242"/>
      <c r="AD582" s="259"/>
      <c r="AE582" s="308"/>
      <c r="AF582" s="308"/>
      <c r="AG582" s="240"/>
      <c r="AH582" s="240"/>
      <c r="AI582" s="240"/>
      <c r="AJ582" s="240"/>
      <c r="AK582" s="308"/>
      <c r="AL582" s="244"/>
      <c r="AM582" s="236"/>
      <c r="AN582" s="378"/>
    </row>
    <row r="583" spans="1:40" s="506" customFormat="1" ht="19.5" customHeight="1">
      <c r="A583" s="216"/>
      <c r="B583" s="478" t="s">
        <v>1689</v>
      </c>
      <c r="C583" s="502" t="s">
        <v>394</v>
      </c>
      <c r="D583" s="502"/>
      <c r="E583" s="503"/>
      <c r="F583" s="504"/>
      <c r="G583" s="504"/>
      <c r="H583" s="504"/>
      <c r="I583" s="237">
        <f>SUM(K583,M583)</f>
        <v>900</v>
      </c>
      <c r="J583" s="237"/>
      <c r="K583" s="237">
        <v>900</v>
      </c>
      <c r="L583" s="237"/>
      <c r="M583" s="237"/>
      <c r="N583" s="239">
        <f>SUM(P583,U583)</f>
        <v>880.12</v>
      </c>
      <c r="O583" s="239"/>
      <c r="P583" s="239">
        <f>SUM(Q583:S583)</f>
        <v>880.12</v>
      </c>
      <c r="Q583" s="505">
        <v>880.12</v>
      </c>
      <c r="R583" s="307"/>
      <c r="S583" s="307"/>
      <c r="T583" s="307"/>
      <c r="U583" s="306"/>
      <c r="V583" s="240"/>
      <c r="W583" s="240"/>
      <c r="X583" s="240"/>
      <c r="Y583" s="240"/>
      <c r="Z583" s="308"/>
      <c r="AA583" s="308"/>
      <c r="AB583" s="241"/>
      <c r="AC583" s="242"/>
      <c r="AD583" s="259"/>
      <c r="AE583" s="308"/>
      <c r="AF583" s="308"/>
      <c r="AG583" s="240"/>
      <c r="AH583" s="240"/>
      <c r="AI583" s="240"/>
      <c r="AJ583" s="240"/>
      <c r="AK583" s="308"/>
      <c r="AL583" s="244"/>
      <c r="AM583" s="236"/>
      <c r="AN583" s="378"/>
    </row>
    <row r="584" spans="1:40" s="506" customFormat="1" ht="19.5" customHeight="1">
      <c r="A584" s="216"/>
      <c r="B584" s="478" t="s">
        <v>1691</v>
      </c>
      <c r="C584" s="502" t="s">
        <v>394</v>
      </c>
      <c r="D584" s="502"/>
      <c r="E584" s="503"/>
      <c r="F584" s="504"/>
      <c r="G584" s="504"/>
      <c r="H584" s="504"/>
      <c r="I584" s="237">
        <f>SUM(K584,M584)</f>
        <v>1005</v>
      </c>
      <c r="J584" s="237"/>
      <c r="K584" s="237">
        <v>1005</v>
      </c>
      <c r="L584" s="237"/>
      <c r="M584" s="237"/>
      <c r="N584" s="239">
        <f>SUM(P584,U584)</f>
        <v>1005</v>
      </c>
      <c r="O584" s="239"/>
      <c r="P584" s="239">
        <f>SUM(Q584:S584)</f>
        <v>1005</v>
      </c>
      <c r="Q584" s="505">
        <v>1005</v>
      </c>
      <c r="R584" s="307"/>
      <c r="S584" s="307"/>
      <c r="T584" s="307"/>
      <c r="U584" s="306"/>
      <c r="V584" s="240"/>
      <c r="W584" s="240"/>
      <c r="X584" s="240"/>
      <c r="Y584" s="240"/>
      <c r="Z584" s="308"/>
      <c r="AA584" s="308"/>
      <c r="AB584" s="241"/>
      <c r="AC584" s="242"/>
      <c r="AD584" s="259"/>
      <c r="AE584" s="308"/>
      <c r="AF584" s="308"/>
      <c r="AG584" s="240"/>
      <c r="AH584" s="240"/>
      <c r="AI584" s="240"/>
      <c r="AJ584" s="240"/>
      <c r="AK584" s="308"/>
      <c r="AL584" s="244"/>
      <c r="AM584" s="236"/>
      <c r="AN584" s="378"/>
    </row>
    <row r="585" spans="1:40" s="506" customFormat="1" ht="19.5" customHeight="1">
      <c r="A585" s="216"/>
      <c r="B585" s="478" t="s">
        <v>403</v>
      </c>
      <c r="C585" s="502" t="s">
        <v>394</v>
      </c>
      <c r="D585" s="502"/>
      <c r="E585" s="503"/>
      <c r="F585" s="504"/>
      <c r="G585" s="504"/>
      <c r="H585" s="504"/>
      <c r="I585" s="237">
        <f>SUM(K585,M585)</f>
        <v>795</v>
      </c>
      <c r="J585" s="237"/>
      <c r="K585" s="237">
        <v>795</v>
      </c>
      <c r="L585" s="237"/>
      <c r="M585" s="237"/>
      <c r="N585" s="239"/>
      <c r="O585" s="239"/>
      <c r="P585" s="239"/>
      <c r="Q585" s="505"/>
      <c r="R585" s="307"/>
      <c r="S585" s="307"/>
      <c r="T585" s="307"/>
      <c r="U585" s="306"/>
      <c r="V585" s="240"/>
      <c r="W585" s="240"/>
      <c r="X585" s="240"/>
      <c r="Y585" s="240"/>
      <c r="Z585" s="308"/>
      <c r="AA585" s="308"/>
      <c r="AB585" s="241"/>
      <c r="AC585" s="242"/>
      <c r="AD585" s="259"/>
      <c r="AE585" s="308"/>
      <c r="AF585" s="308"/>
      <c r="AG585" s="240"/>
      <c r="AH585" s="240"/>
      <c r="AI585" s="240"/>
      <c r="AJ585" s="240"/>
      <c r="AK585" s="308"/>
      <c r="AL585" s="244"/>
      <c r="AM585" s="236"/>
      <c r="AN585" s="378"/>
    </row>
    <row r="586" spans="1:41" s="506" customFormat="1" ht="19.5" customHeight="1">
      <c r="A586" s="275">
        <v>30</v>
      </c>
      <c r="B586" s="385" t="s">
        <v>414</v>
      </c>
      <c r="C586" s="288"/>
      <c r="D586" s="288"/>
      <c r="E586" s="289"/>
      <c r="F586" s="290"/>
      <c r="G586" s="290"/>
      <c r="H586" s="291"/>
      <c r="I586" s="282">
        <f>SUM(I587,I597,I600,I602,I604)</f>
        <v>263205.01085300004</v>
      </c>
      <c r="J586" s="282">
        <f aca="true" t="shared" si="283" ref="J586:AO586">SUM(J587,J597,J600,J602,J604)</f>
        <v>0</v>
      </c>
      <c r="K586" s="282">
        <f t="shared" si="283"/>
        <v>0</v>
      </c>
      <c r="L586" s="282">
        <f t="shared" si="283"/>
        <v>0</v>
      </c>
      <c r="M586" s="282">
        <f t="shared" si="283"/>
        <v>263205.01085300004</v>
      </c>
      <c r="N586" s="282">
        <f t="shared" si="283"/>
        <v>214145.915346</v>
      </c>
      <c r="O586" s="282">
        <f t="shared" si="283"/>
        <v>0</v>
      </c>
      <c r="P586" s="282">
        <f t="shared" si="283"/>
        <v>0</v>
      </c>
      <c r="Q586" s="282">
        <f t="shared" si="283"/>
        <v>0</v>
      </c>
      <c r="R586" s="282" t="e">
        <f t="shared" si="283"/>
        <v>#REF!</v>
      </c>
      <c r="S586" s="282" t="e">
        <f t="shared" si="283"/>
        <v>#REF!</v>
      </c>
      <c r="T586" s="282" t="e">
        <f t="shared" si="283"/>
        <v>#REF!</v>
      </c>
      <c r="U586" s="282">
        <f t="shared" si="283"/>
        <v>214145.915346</v>
      </c>
      <c r="V586" s="282">
        <f t="shared" si="283"/>
        <v>0</v>
      </c>
      <c r="W586" s="282">
        <f t="shared" si="283"/>
        <v>0</v>
      </c>
      <c r="X586" s="282">
        <f t="shared" si="283"/>
        <v>0</v>
      </c>
      <c r="Y586" s="282">
        <f t="shared" si="283"/>
        <v>0</v>
      </c>
      <c r="Z586" s="282">
        <f t="shared" si="283"/>
        <v>0</v>
      </c>
      <c r="AA586" s="282">
        <f t="shared" si="283"/>
        <v>0</v>
      </c>
      <c r="AB586" s="282">
        <f t="shared" si="283"/>
        <v>0</v>
      </c>
      <c r="AC586" s="282">
        <f t="shared" si="283"/>
        <v>0</v>
      </c>
      <c r="AD586" s="282">
        <f t="shared" si="283"/>
        <v>0</v>
      </c>
      <c r="AE586" s="282">
        <f t="shared" si="283"/>
        <v>0</v>
      </c>
      <c r="AF586" s="282">
        <f t="shared" si="283"/>
        <v>0</v>
      </c>
      <c r="AG586" s="282">
        <f t="shared" si="283"/>
        <v>0</v>
      </c>
      <c r="AH586" s="282">
        <f t="shared" si="283"/>
        <v>0</v>
      </c>
      <c r="AI586" s="282">
        <f t="shared" si="283"/>
        <v>0</v>
      </c>
      <c r="AJ586" s="282">
        <f t="shared" si="283"/>
        <v>0</v>
      </c>
      <c r="AK586" s="282">
        <f t="shared" si="283"/>
        <v>0</v>
      </c>
      <c r="AL586" s="282">
        <f t="shared" si="283"/>
        <v>0</v>
      </c>
      <c r="AM586" s="282">
        <f t="shared" si="283"/>
        <v>0</v>
      </c>
      <c r="AN586" s="282">
        <f t="shared" si="283"/>
        <v>0</v>
      </c>
      <c r="AO586" s="282">
        <f t="shared" si="283"/>
        <v>0</v>
      </c>
    </row>
    <row r="587" spans="1:40" s="506" customFormat="1" ht="19.5" customHeight="1">
      <c r="A587" s="275" t="s">
        <v>382</v>
      </c>
      <c r="B587" s="385" t="s">
        <v>415</v>
      </c>
      <c r="C587" s="288"/>
      <c r="D587" s="288"/>
      <c r="E587" s="289"/>
      <c r="F587" s="290"/>
      <c r="G587" s="290"/>
      <c r="H587" s="291"/>
      <c r="I587" s="282">
        <f>SUM(I588:I596)</f>
        <v>160793.77085300002</v>
      </c>
      <c r="J587" s="282">
        <f>SUM(J588:J596)</f>
        <v>0</v>
      </c>
      <c r="K587" s="282">
        <f>SUM(K588:K596)</f>
        <v>0</v>
      </c>
      <c r="L587" s="282">
        <v>0</v>
      </c>
      <c r="M587" s="282">
        <f>SUM(M588:M596)</f>
        <v>160793.77085300002</v>
      </c>
      <c r="N587" s="282">
        <f>SUM(N588:N596)</f>
        <v>19406.6815</v>
      </c>
      <c r="O587" s="282">
        <f>SUM(O588:O596)</f>
        <v>0</v>
      </c>
      <c r="P587" s="282"/>
      <c r="Q587" s="282">
        <f>SUM(Q588:Q596)</f>
        <v>0</v>
      </c>
      <c r="R587" s="282">
        <f>SUM(R588:R596)</f>
        <v>0</v>
      </c>
      <c r="S587" s="282">
        <f>SUM(S588:S596)</f>
        <v>0</v>
      </c>
      <c r="T587" s="282">
        <f>SUM(T588:T596)</f>
        <v>0</v>
      </c>
      <c r="U587" s="516">
        <f>SUM(U588:U596)</f>
        <v>19406.6815</v>
      </c>
      <c r="V587" s="240"/>
      <c r="W587" s="240"/>
      <c r="X587" s="240"/>
      <c r="Y587" s="240"/>
      <c r="Z587" s="308"/>
      <c r="AA587" s="308"/>
      <c r="AB587" s="241"/>
      <c r="AC587" s="242"/>
      <c r="AD587" s="259"/>
      <c r="AE587" s="308"/>
      <c r="AF587" s="308"/>
      <c r="AG587" s="240"/>
      <c r="AH587" s="240"/>
      <c r="AI587" s="240"/>
      <c r="AJ587" s="240"/>
      <c r="AK587" s="308"/>
      <c r="AL587" s="244"/>
      <c r="AM587" s="236"/>
      <c r="AN587" s="378"/>
    </row>
    <row r="588" spans="1:40" s="506" customFormat="1" ht="19.5" customHeight="1">
      <c r="A588" s="263"/>
      <c r="B588" s="432" t="s">
        <v>416</v>
      </c>
      <c r="C588" s="304" t="s">
        <v>1608</v>
      </c>
      <c r="D588" s="304"/>
      <c r="E588" s="305"/>
      <c r="F588" s="306"/>
      <c r="G588" s="306"/>
      <c r="H588" s="244"/>
      <c r="I588" s="237">
        <f aca="true" t="shared" si="284" ref="I588:I596">K588+L588+M588</f>
        <v>3610.025813</v>
      </c>
      <c r="J588" s="237"/>
      <c r="K588" s="237"/>
      <c r="L588" s="237"/>
      <c r="M588" s="237">
        <v>3610.025813</v>
      </c>
      <c r="N588" s="239"/>
      <c r="O588" s="239"/>
      <c r="P588" s="239"/>
      <c r="Q588" s="307"/>
      <c r="R588" s="307"/>
      <c r="S588" s="307"/>
      <c r="T588" s="307"/>
      <c r="U588" s="306"/>
      <c r="V588" s="240"/>
      <c r="W588" s="240"/>
      <c r="X588" s="240"/>
      <c r="Y588" s="240"/>
      <c r="Z588" s="308"/>
      <c r="AA588" s="308"/>
      <c r="AB588" s="241"/>
      <c r="AC588" s="242"/>
      <c r="AD588" s="259"/>
      <c r="AE588" s="308"/>
      <c r="AF588" s="308"/>
      <c r="AG588" s="240"/>
      <c r="AH588" s="240"/>
      <c r="AI588" s="240"/>
      <c r="AJ588" s="240"/>
      <c r="AK588" s="308"/>
      <c r="AL588" s="244"/>
      <c r="AM588" s="236"/>
      <c r="AN588" s="378"/>
    </row>
    <row r="589" spans="1:40" s="506" customFormat="1" ht="19.5" customHeight="1">
      <c r="A589" s="263"/>
      <c r="B589" s="432" t="s">
        <v>417</v>
      </c>
      <c r="C589" s="304" t="s">
        <v>1341</v>
      </c>
      <c r="D589" s="304"/>
      <c r="E589" s="305"/>
      <c r="F589" s="306"/>
      <c r="G589" s="306"/>
      <c r="H589" s="244"/>
      <c r="I589" s="237">
        <f t="shared" si="284"/>
        <v>19460.958144</v>
      </c>
      <c r="J589" s="237"/>
      <c r="K589" s="237"/>
      <c r="L589" s="237"/>
      <c r="M589" s="237">
        <v>19460.958144</v>
      </c>
      <c r="N589" s="239"/>
      <c r="O589" s="239"/>
      <c r="P589" s="239"/>
      <c r="Q589" s="307"/>
      <c r="R589" s="307"/>
      <c r="S589" s="307"/>
      <c r="T589" s="307"/>
      <c r="U589" s="306"/>
      <c r="V589" s="240"/>
      <c r="W589" s="240"/>
      <c r="X589" s="240"/>
      <c r="Y589" s="240"/>
      <c r="Z589" s="308"/>
      <c r="AA589" s="308"/>
      <c r="AB589" s="241"/>
      <c r="AC589" s="242"/>
      <c r="AD589" s="259"/>
      <c r="AE589" s="308"/>
      <c r="AF589" s="308"/>
      <c r="AG589" s="240"/>
      <c r="AH589" s="240"/>
      <c r="AI589" s="240"/>
      <c r="AJ589" s="240"/>
      <c r="AK589" s="308"/>
      <c r="AL589" s="244"/>
      <c r="AM589" s="236"/>
      <c r="AN589" s="378"/>
    </row>
    <row r="590" spans="1:40" s="506" customFormat="1" ht="19.5" customHeight="1">
      <c r="A590" s="263"/>
      <c r="B590" s="432" t="s">
        <v>418</v>
      </c>
      <c r="C590" s="304" t="s">
        <v>1341</v>
      </c>
      <c r="D590" s="304"/>
      <c r="E590" s="305"/>
      <c r="F590" s="306"/>
      <c r="G590" s="306"/>
      <c r="H590" s="244"/>
      <c r="I590" s="237">
        <f t="shared" si="284"/>
        <v>8844.8441</v>
      </c>
      <c r="J590" s="237"/>
      <c r="K590" s="237"/>
      <c r="L590" s="237"/>
      <c r="M590" s="237">
        <v>8844.8441</v>
      </c>
      <c r="N590" s="239">
        <f>SUM(Q590:U590)</f>
        <v>7270.6035</v>
      </c>
      <c r="O590" s="239"/>
      <c r="P590" s="239"/>
      <c r="Q590" s="307"/>
      <c r="R590" s="307"/>
      <c r="S590" s="307"/>
      <c r="T590" s="307"/>
      <c r="U590" s="306">
        <v>7270.6035</v>
      </c>
      <c r="V590" s="240"/>
      <c r="W590" s="240"/>
      <c r="X590" s="240"/>
      <c r="Y590" s="240"/>
      <c r="Z590" s="308"/>
      <c r="AA590" s="308"/>
      <c r="AB590" s="241"/>
      <c r="AC590" s="242"/>
      <c r="AD590" s="259"/>
      <c r="AE590" s="308"/>
      <c r="AF590" s="308"/>
      <c r="AG590" s="240"/>
      <c r="AH590" s="240"/>
      <c r="AI590" s="240"/>
      <c r="AJ590" s="240"/>
      <c r="AK590" s="308"/>
      <c r="AL590" s="244"/>
      <c r="AM590" s="236"/>
      <c r="AN590" s="378"/>
    </row>
    <row r="591" spans="1:40" s="506" customFormat="1" ht="19.5" customHeight="1">
      <c r="A591" s="263"/>
      <c r="B591" s="432" t="s">
        <v>419</v>
      </c>
      <c r="C591" s="304" t="s">
        <v>1341</v>
      </c>
      <c r="D591" s="304"/>
      <c r="E591" s="305"/>
      <c r="F591" s="306"/>
      <c r="G591" s="306"/>
      <c r="H591" s="244"/>
      <c r="I591" s="237">
        <f t="shared" si="284"/>
        <v>11206.461</v>
      </c>
      <c r="J591" s="237"/>
      <c r="K591" s="237"/>
      <c r="L591" s="237"/>
      <c r="M591" s="237">
        <v>11206.461</v>
      </c>
      <c r="N591" s="239"/>
      <c r="O591" s="239"/>
      <c r="P591" s="239"/>
      <c r="Q591" s="307"/>
      <c r="R591" s="307"/>
      <c r="S591" s="307"/>
      <c r="T591" s="307"/>
      <c r="U591" s="306"/>
      <c r="V591" s="240"/>
      <c r="W591" s="240"/>
      <c r="X591" s="240"/>
      <c r="Y591" s="240"/>
      <c r="Z591" s="308"/>
      <c r="AA591" s="308"/>
      <c r="AB591" s="241"/>
      <c r="AC591" s="242"/>
      <c r="AD591" s="259"/>
      <c r="AE591" s="308"/>
      <c r="AF591" s="308"/>
      <c r="AG591" s="240"/>
      <c r="AH591" s="240"/>
      <c r="AI591" s="240"/>
      <c r="AJ591" s="240"/>
      <c r="AK591" s="308"/>
      <c r="AL591" s="244"/>
      <c r="AM591" s="236"/>
      <c r="AN591" s="378"/>
    </row>
    <row r="592" spans="1:40" s="506" customFormat="1" ht="19.5" customHeight="1">
      <c r="A592" s="263"/>
      <c r="B592" s="432" t="s">
        <v>420</v>
      </c>
      <c r="C592" s="304" t="s">
        <v>1341</v>
      </c>
      <c r="D592" s="304"/>
      <c r="E592" s="305"/>
      <c r="F592" s="306"/>
      <c r="G592" s="306"/>
      <c r="H592" s="244"/>
      <c r="I592" s="237">
        <f t="shared" si="284"/>
        <v>22595.738967</v>
      </c>
      <c r="J592" s="237"/>
      <c r="K592" s="237"/>
      <c r="L592" s="237"/>
      <c r="M592" s="237">
        <v>22595.738967</v>
      </c>
      <c r="N592" s="239"/>
      <c r="O592" s="239"/>
      <c r="P592" s="239"/>
      <c r="Q592" s="307"/>
      <c r="R592" s="307"/>
      <c r="S592" s="307"/>
      <c r="T592" s="307"/>
      <c r="U592" s="306"/>
      <c r="V592" s="240"/>
      <c r="W592" s="240"/>
      <c r="X592" s="240"/>
      <c r="Y592" s="240"/>
      <c r="Z592" s="308"/>
      <c r="AA592" s="308"/>
      <c r="AB592" s="241"/>
      <c r="AC592" s="242"/>
      <c r="AD592" s="259"/>
      <c r="AE592" s="308"/>
      <c r="AF592" s="308"/>
      <c r="AG592" s="240"/>
      <c r="AH592" s="240"/>
      <c r="AI592" s="240"/>
      <c r="AJ592" s="240"/>
      <c r="AK592" s="308"/>
      <c r="AL592" s="244"/>
      <c r="AM592" s="236"/>
      <c r="AN592" s="378"/>
    </row>
    <row r="593" spans="1:40" s="506" customFormat="1" ht="19.5" customHeight="1">
      <c r="A593" s="263"/>
      <c r="B593" s="432" t="s">
        <v>421</v>
      </c>
      <c r="C593" s="304" t="s">
        <v>1341</v>
      </c>
      <c r="D593" s="304"/>
      <c r="E593" s="305"/>
      <c r="F593" s="306"/>
      <c r="G593" s="306"/>
      <c r="H593" s="244"/>
      <c r="I593" s="237">
        <f t="shared" si="284"/>
        <v>78289.664829</v>
      </c>
      <c r="J593" s="237"/>
      <c r="K593" s="237"/>
      <c r="L593" s="237"/>
      <c r="M593" s="237">
        <v>78289.664829</v>
      </c>
      <c r="N593" s="239"/>
      <c r="O593" s="239"/>
      <c r="P593" s="239"/>
      <c r="Q593" s="307"/>
      <c r="R593" s="307"/>
      <c r="S593" s="307"/>
      <c r="T593" s="307"/>
      <c r="U593" s="306"/>
      <c r="V593" s="240"/>
      <c r="W593" s="240"/>
      <c r="X593" s="240"/>
      <c r="Y593" s="240"/>
      <c r="Z593" s="308"/>
      <c r="AA593" s="308"/>
      <c r="AB593" s="241"/>
      <c r="AC593" s="242"/>
      <c r="AD593" s="259"/>
      <c r="AE593" s="308"/>
      <c r="AF593" s="308"/>
      <c r="AG593" s="240"/>
      <c r="AH593" s="240"/>
      <c r="AI593" s="240"/>
      <c r="AJ593" s="240"/>
      <c r="AK593" s="308"/>
      <c r="AL593" s="244"/>
      <c r="AM593" s="236"/>
      <c r="AN593" s="378"/>
    </row>
    <row r="594" spans="1:40" s="506" customFormat="1" ht="19.5" customHeight="1">
      <c r="A594" s="263"/>
      <c r="B594" s="432" t="s">
        <v>422</v>
      </c>
      <c r="C594" s="304" t="s">
        <v>1273</v>
      </c>
      <c r="D594" s="304"/>
      <c r="E594" s="305"/>
      <c r="F594" s="306"/>
      <c r="G594" s="306"/>
      <c r="H594" s="244"/>
      <c r="I594" s="237">
        <f t="shared" si="284"/>
        <v>6360.086</v>
      </c>
      <c r="J594" s="237"/>
      <c r="K594" s="237"/>
      <c r="L594" s="237"/>
      <c r="M594" s="237">
        <v>6360.086</v>
      </c>
      <c r="N594" s="239">
        <f>SUM(Q594:U594)</f>
        <v>6360.086</v>
      </c>
      <c r="O594" s="239"/>
      <c r="P594" s="239"/>
      <c r="Q594" s="307"/>
      <c r="R594" s="307"/>
      <c r="S594" s="307"/>
      <c r="T594" s="307"/>
      <c r="U594" s="306">
        <v>6360.086</v>
      </c>
      <c r="V594" s="240"/>
      <c r="W594" s="240"/>
      <c r="X594" s="240"/>
      <c r="Y594" s="240"/>
      <c r="Z594" s="308"/>
      <c r="AA594" s="308"/>
      <c r="AB594" s="241"/>
      <c r="AC594" s="242"/>
      <c r="AD594" s="259"/>
      <c r="AE594" s="308"/>
      <c r="AF594" s="308"/>
      <c r="AG594" s="240"/>
      <c r="AH594" s="240"/>
      <c r="AI594" s="240"/>
      <c r="AJ594" s="240"/>
      <c r="AK594" s="308"/>
      <c r="AL594" s="244"/>
      <c r="AM594" s="236"/>
      <c r="AN594" s="378"/>
    </row>
    <row r="595" spans="1:40" s="506" customFormat="1" ht="19.5" customHeight="1">
      <c r="A595" s="263"/>
      <c r="B595" s="432" t="s">
        <v>423</v>
      </c>
      <c r="C595" s="304" t="s">
        <v>1267</v>
      </c>
      <c r="D595" s="304"/>
      <c r="E595" s="305"/>
      <c r="F595" s="306"/>
      <c r="G595" s="306"/>
      <c r="H595" s="244"/>
      <c r="I595" s="237">
        <f t="shared" si="284"/>
        <v>5775.992</v>
      </c>
      <c r="J595" s="237"/>
      <c r="K595" s="237"/>
      <c r="L595" s="237"/>
      <c r="M595" s="237">
        <v>5775.992</v>
      </c>
      <c r="N595" s="239">
        <f>SUM(Q595:U595)</f>
        <v>5775.992</v>
      </c>
      <c r="O595" s="239"/>
      <c r="P595" s="239"/>
      <c r="Q595" s="307"/>
      <c r="R595" s="307"/>
      <c r="S595" s="307"/>
      <c r="T595" s="307"/>
      <c r="U595" s="306">
        <v>5775.992</v>
      </c>
      <c r="V595" s="240"/>
      <c r="W595" s="240"/>
      <c r="X595" s="240"/>
      <c r="Y595" s="240"/>
      <c r="Z595" s="308"/>
      <c r="AA595" s="308"/>
      <c r="AB595" s="241"/>
      <c r="AC595" s="242"/>
      <c r="AD595" s="259"/>
      <c r="AE595" s="308"/>
      <c r="AF595" s="308"/>
      <c r="AG595" s="240"/>
      <c r="AH595" s="240"/>
      <c r="AI595" s="240"/>
      <c r="AJ595" s="240"/>
      <c r="AK595" s="308"/>
      <c r="AL595" s="244"/>
      <c r="AM595" s="236"/>
      <c r="AN595" s="378"/>
    </row>
    <row r="596" spans="1:40" s="506" customFormat="1" ht="19.5" customHeight="1">
      <c r="A596" s="263"/>
      <c r="B596" s="432" t="s">
        <v>424</v>
      </c>
      <c r="C596" s="304" t="s">
        <v>1341</v>
      </c>
      <c r="D596" s="304"/>
      <c r="E596" s="305"/>
      <c r="F596" s="306"/>
      <c r="G596" s="306"/>
      <c r="H596" s="244"/>
      <c r="I596" s="237">
        <f t="shared" si="284"/>
        <v>4650</v>
      </c>
      <c r="J596" s="237"/>
      <c r="K596" s="237"/>
      <c r="L596" s="237"/>
      <c r="M596" s="237">
        <v>4650</v>
      </c>
      <c r="N596" s="239"/>
      <c r="O596" s="239"/>
      <c r="P596" s="239"/>
      <c r="Q596" s="307"/>
      <c r="R596" s="307"/>
      <c r="S596" s="307"/>
      <c r="T596" s="307"/>
      <c r="U596" s="306"/>
      <c r="V596" s="240"/>
      <c r="W596" s="240"/>
      <c r="X596" s="240"/>
      <c r="Y596" s="240"/>
      <c r="Z596" s="308"/>
      <c r="AA596" s="308"/>
      <c r="AB596" s="241"/>
      <c r="AC596" s="242"/>
      <c r="AD596" s="259"/>
      <c r="AE596" s="308"/>
      <c r="AF596" s="308"/>
      <c r="AG596" s="240"/>
      <c r="AH596" s="240"/>
      <c r="AI596" s="240"/>
      <c r="AJ596" s="240"/>
      <c r="AK596" s="308"/>
      <c r="AL596" s="244"/>
      <c r="AM596" s="236"/>
      <c r="AN596" s="378"/>
    </row>
    <row r="597" spans="1:40" s="506" customFormat="1" ht="19.5" customHeight="1">
      <c r="A597" s="216" t="s">
        <v>391</v>
      </c>
      <c r="B597" s="385" t="s">
        <v>425</v>
      </c>
      <c r="C597" s="288"/>
      <c r="D597" s="288"/>
      <c r="E597" s="289"/>
      <c r="F597" s="290"/>
      <c r="G597" s="290"/>
      <c r="H597" s="291"/>
      <c r="I597" s="282"/>
      <c r="J597" s="282"/>
      <c r="K597" s="282"/>
      <c r="L597" s="282"/>
      <c r="M597" s="282"/>
      <c r="N597" s="282">
        <f>SUM(N598:N599)</f>
        <v>18188.615305</v>
      </c>
      <c r="O597" s="282"/>
      <c r="P597" s="282"/>
      <c r="Q597" s="282">
        <f>SUM(Q598:Q599)</f>
        <v>0</v>
      </c>
      <c r="R597" s="282">
        <f>SUM(R598:R599)</f>
        <v>0</v>
      </c>
      <c r="S597" s="282">
        <f>SUM(S598:S599)</f>
        <v>0</v>
      </c>
      <c r="T597" s="282">
        <f>SUM(T598:T599)</f>
        <v>0</v>
      </c>
      <c r="U597" s="516">
        <f>SUM(U598:U599)</f>
        <v>18188.615305</v>
      </c>
      <c r="V597" s="240"/>
      <c r="W597" s="240"/>
      <c r="X597" s="240"/>
      <c r="Y597" s="240"/>
      <c r="Z597" s="308"/>
      <c r="AA597" s="308"/>
      <c r="AB597" s="241"/>
      <c r="AC597" s="242"/>
      <c r="AD597" s="259"/>
      <c r="AE597" s="308"/>
      <c r="AF597" s="308"/>
      <c r="AG597" s="240"/>
      <c r="AH597" s="240"/>
      <c r="AI597" s="240"/>
      <c r="AJ597" s="240"/>
      <c r="AK597" s="308"/>
      <c r="AL597" s="244"/>
      <c r="AM597" s="236"/>
      <c r="AN597" s="378"/>
    </row>
    <row r="598" spans="1:40" s="506" customFormat="1" ht="19.5" customHeight="1">
      <c r="A598" s="216"/>
      <c r="B598" s="432" t="s">
        <v>426</v>
      </c>
      <c r="C598" s="304" t="s">
        <v>1341</v>
      </c>
      <c r="D598" s="304"/>
      <c r="E598" s="305"/>
      <c r="F598" s="306"/>
      <c r="G598" s="306"/>
      <c r="H598" s="244"/>
      <c r="I598" s="237"/>
      <c r="J598" s="237"/>
      <c r="K598" s="237"/>
      <c r="L598" s="237"/>
      <c r="M598" s="237"/>
      <c r="N598" s="239">
        <f>SUM(P598,U598)</f>
        <v>12653.615305</v>
      </c>
      <c r="O598" s="239"/>
      <c r="P598" s="239"/>
      <c r="Q598" s="307"/>
      <c r="R598" s="307"/>
      <c r="S598" s="307"/>
      <c r="T598" s="307"/>
      <c r="U598" s="306">
        <v>12653.615305</v>
      </c>
      <c r="V598" s="240"/>
      <c r="W598" s="240"/>
      <c r="X598" s="240"/>
      <c r="Y598" s="240"/>
      <c r="Z598" s="308"/>
      <c r="AA598" s="308"/>
      <c r="AB598" s="241"/>
      <c r="AC598" s="242"/>
      <c r="AD598" s="259"/>
      <c r="AE598" s="308"/>
      <c r="AF598" s="308"/>
      <c r="AG598" s="240"/>
      <c r="AH598" s="240"/>
      <c r="AI598" s="240"/>
      <c r="AJ598" s="240"/>
      <c r="AK598" s="308"/>
      <c r="AL598" s="244"/>
      <c r="AM598" s="236"/>
      <c r="AN598" s="378"/>
    </row>
    <row r="599" spans="1:40" s="506" customFormat="1" ht="19.5" customHeight="1">
      <c r="A599" s="216"/>
      <c r="B599" s="432" t="s">
        <v>423</v>
      </c>
      <c r="C599" s="304" t="s">
        <v>1273</v>
      </c>
      <c r="D599" s="304"/>
      <c r="E599" s="305"/>
      <c r="F599" s="306"/>
      <c r="G599" s="306"/>
      <c r="H599" s="244"/>
      <c r="I599" s="237"/>
      <c r="J599" s="237"/>
      <c r="K599" s="237"/>
      <c r="L599" s="237"/>
      <c r="M599" s="237"/>
      <c r="N599" s="239">
        <f>SUM(P599,U599)</f>
        <v>5535</v>
      </c>
      <c r="O599" s="239"/>
      <c r="P599" s="239"/>
      <c r="Q599" s="307"/>
      <c r="R599" s="307"/>
      <c r="S599" s="307"/>
      <c r="T599" s="307"/>
      <c r="U599" s="306">
        <v>5535</v>
      </c>
      <c r="V599" s="240"/>
      <c r="W599" s="240"/>
      <c r="X599" s="240"/>
      <c r="Y599" s="240"/>
      <c r="Z599" s="308"/>
      <c r="AA599" s="308"/>
      <c r="AB599" s="241"/>
      <c r="AC599" s="242"/>
      <c r="AD599" s="259"/>
      <c r="AE599" s="308"/>
      <c r="AF599" s="308"/>
      <c r="AG599" s="240"/>
      <c r="AH599" s="240"/>
      <c r="AI599" s="240"/>
      <c r="AJ599" s="240"/>
      <c r="AK599" s="308"/>
      <c r="AL599" s="244"/>
      <c r="AM599" s="236"/>
      <c r="AN599" s="378"/>
    </row>
    <row r="600" spans="1:40" s="506" customFormat="1" ht="19.5" customHeight="1">
      <c r="A600" s="216" t="s">
        <v>405</v>
      </c>
      <c r="B600" s="385" t="s">
        <v>427</v>
      </c>
      <c r="C600" s="288"/>
      <c r="D600" s="288"/>
      <c r="E600" s="289"/>
      <c r="F600" s="290"/>
      <c r="G600" s="290"/>
      <c r="H600" s="291"/>
      <c r="I600" s="282"/>
      <c r="J600" s="282"/>
      <c r="K600" s="282"/>
      <c r="L600" s="282"/>
      <c r="M600" s="282"/>
      <c r="N600" s="296">
        <f>SUM(P600,U600)</f>
        <v>2897.9653</v>
      </c>
      <c r="O600" s="282"/>
      <c r="P600" s="282"/>
      <c r="Q600" s="282">
        <f>Q601</f>
        <v>0</v>
      </c>
      <c r="R600" s="282">
        <f>R601</f>
        <v>0</v>
      </c>
      <c r="S600" s="282">
        <f>S601</f>
        <v>0</v>
      </c>
      <c r="T600" s="282">
        <f>T601</f>
        <v>0</v>
      </c>
      <c r="U600" s="516">
        <f>U601</f>
        <v>2897.9653</v>
      </c>
      <c r="V600" s="240"/>
      <c r="W600" s="240"/>
      <c r="X600" s="240"/>
      <c r="Y600" s="240"/>
      <c r="Z600" s="308"/>
      <c r="AA600" s="308"/>
      <c r="AB600" s="241"/>
      <c r="AC600" s="242"/>
      <c r="AD600" s="259"/>
      <c r="AE600" s="308"/>
      <c r="AF600" s="308"/>
      <c r="AG600" s="240"/>
      <c r="AH600" s="240"/>
      <c r="AI600" s="240"/>
      <c r="AJ600" s="240"/>
      <c r="AK600" s="308"/>
      <c r="AL600" s="244"/>
      <c r="AM600" s="236"/>
      <c r="AN600" s="378"/>
    </row>
    <row r="601" spans="1:40" s="506" customFormat="1" ht="19.5" customHeight="1">
      <c r="A601" s="216"/>
      <c r="B601" s="432" t="s">
        <v>418</v>
      </c>
      <c r="C601" s="304"/>
      <c r="D601" s="304"/>
      <c r="E601" s="305"/>
      <c r="F601" s="306"/>
      <c r="G601" s="306"/>
      <c r="H601" s="244"/>
      <c r="I601" s="237"/>
      <c r="J601" s="237"/>
      <c r="K601" s="237"/>
      <c r="L601" s="237"/>
      <c r="M601" s="237"/>
      <c r="N601" s="239">
        <f>SUM(P601,U601)</f>
        <v>2897.9653</v>
      </c>
      <c r="O601" s="239"/>
      <c r="P601" s="239"/>
      <c r="Q601" s="307"/>
      <c r="R601" s="307"/>
      <c r="S601" s="307"/>
      <c r="T601" s="307"/>
      <c r="U601" s="306">
        <v>2897.9653</v>
      </c>
      <c r="V601" s="240"/>
      <c r="W601" s="240"/>
      <c r="X601" s="240"/>
      <c r="Y601" s="240"/>
      <c r="Z601" s="308"/>
      <c r="AA601" s="308"/>
      <c r="AB601" s="241"/>
      <c r="AC601" s="242"/>
      <c r="AD601" s="259"/>
      <c r="AE601" s="308"/>
      <c r="AF601" s="308"/>
      <c r="AG601" s="240"/>
      <c r="AH601" s="240"/>
      <c r="AI601" s="240"/>
      <c r="AJ601" s="240"/>
      <c r="AK601" s="308"/>
      <c r="AL601" s="244"/>
      <c r="AM601" s="236"/>
      <c r="AN601" s="378"/>
    </row>
    <row r="602" spans="1:40" s="506" customFormat="1" ht="19.5" customHeight="1">
      <c r="A602" s="216" t="s">
        <v>411</v>
      </c>
      <c r="B602" s="385" t="s">
        <v>428</v>
      </c>
      <c r="C602" s="288"/>
      <c r="D602" s="288"/>
      <c r="E602" s="289"/>
      <c r="F602" s="290"/>
      <c r="G602" s="290"/>
      <c r="H602" s="291"/>
      <c r="I602" s="282"/>
      <c r="J602" s="282"/>
      <c r="K602" s="282"/>
      <c r="L602" s="282"/>
      <c r="M602" s="282"/>
      <c r="N602" s="282">
        <f>SUM(N603)</f>
        <v>66647.083241</v>
      </c>
      <c r="O602" s="282"/>
      <c r="P602" s="282"/>
      <c r="Q602" s="282"/>
      <c r="R602" s="282" t="e">
        <f>#REF!</f>
        <v>#REF!</v>
      </c>
      <c r="S602" s="282" t="e">
        <f>#REF!</f>
        <v>#REF!</v>
      </c>
      <c r="T602" s="282" t="e">
        <f>#REF!</f>
        <v>#REF!</v>
      </c>
      <c r="U602" s="516">
        <f>SUM(U603)</f>
        <v>66647.083241</v>
      </c>
      <c r="V602" s="240"/>
      <c r="W602" s="240"/>
      <c r="X602" s="240"/>
      <c r="Y602" s="240"/>
      <c r="Z602" s="308"/>
      <c r="AA602" s="308"/>
      <c r="AB602" s="241"/>
      <c r="AC602" s="242"/>
      <c r="AD602" s="259"/>
      <c r="AE602" s="308"/>
      <c r="AF602" s="308"/>
      <c r="AG602" s="240"/>
      <c r="AH602" s="240"/>
      <c r="AI602" s="240"/>
      <c r="AJ602" s="240"/>
      <c r="AK602" s="308"/>
      <c r="AL602" s="244"/>
      <c r="AM602" s="236"/>
      <c r="AN602" s="378"/>
    </row>
    <row r="603" spans="1:40" s="506" customFormat="1" ht="19.5" customHeight="1">
      <c r="A603" s="216"/>
      <c r="B603" s="517" t="s">
        <v>429</v>
      </c>
      <c r="C603" s="518"/>
      <c r="D603" s="518"/>
      <c r="E603" s="519"/>
      <c r="F603" s="520"/>
      <c r="G603" s="520"/>
      <c r="H603" s="521"/>
      <c r="I603" s="237"/>
      <c r="J603" s="522"/>
      <c r="K603" s="522"/>
      <c r="L603" s="522"/>
      <c r="M603" s="522"/>
      <c r="N603" s="239">
        <f>SUM(Q603:U603)</f>
        <v>66647.083241</v>
      </c>
      <c r="O603" s="248"/>
      <c r="P603" s="248"/>
      <c r="Q603" s="523"/>
      <c r="R603" s="523"/>
      <c r="S603" s="523"/>
      <c r="T603" s="307"/>
      <c r="U603" s="524">
        <v>66647.083241</v>
      </c>
      <c r="V603" s="240"/>
      <c r="W603" s="240"/>
      <c r="X603" s="240"/>
      <c r="Y603" s="240"/>
      <c r="Z603" s="308"/>
      <c r="AA603" s="308"/>
      <c r="AB603" s="241"/>
      <c r="AC603" s="242"/>
      <c r="AD603" s="259"/>
      <c r="AE603" s="308"/>
      <c r="AF603" s="308"/>
      <c r="AG603" s="240"/>
      <c r="AH603" s="240"/>
      <c r="AI603" s="240"/>
      <c r="AJ603" s="240"/>
      <c r="AK603" s="308"/>
      <c r="AL603" s="244"/>
      <c r="AM603" s="236"/>
      <c r="AN603" s="378"/>
    </row>
    <row r="604" spans="1:41" s="506" customFormat="1" ht="19.5" customHeight="1">
      <c r="A604" s="216" t="s">
        <v>988</v>
      </c>
      <c r="B604" s="525" t="s">
        <v>430</v>
      </c>
      <c r="C604" s="526"/>
      <c r="D604" s="526"/>
      <c r="E604" s="527"/>
      <c r="F604" s="528"/>
      <c r="G604" s="528"/>
      <c r="H604" s="529"/>
      <c r="I604" s="282">
        <f>SUM(I605,I617:I646)</f>
        <v>102411.24000000002</v>
      </c>
      <c r="J604" s="282">
        <f aca="true" t="shared" si="285" ref="J604:AO604">SUM(J605,J617:J646)</f>
        <v>0</v>
      </c>
      <c r="K604" s="282">
        <f t="shared" si="285"/>
        <v>0</v>
      </c>
      <c r="L604" s="282">
        <f t="shared" si="285"/>
        <v>0</v>
      </c>
      <c r="M604" s="282">
        <f t="shared" si="285"/>
        <v>102411.24000000002</v>
      </c>
      <c r="N604" s="282">
        <f t="shared" si="285"/>
        <v>107005.57</v>
      </c>
      <c r="O604" s="282">
        <f t="shared" si="285"/>
        <v>0</v>
      </c>
      <c r="P604" s="282">
        <f t="shared" si="285"/>
        <v>0</v>
      </c>
      <c r="Q604" s="282">
        <f t="shared" si="285"/>
        <v>0</v>
      </c>
      <c r="R604" s="282">
        <f t="shared" si="285"/>
        <v>0</v>
      </c>
      <c r="S604" s="282">
        <f t="shared" si="285"/>
        <v>0</v>
      </c>
      <c r="T604" s="282">
        <f t="shared" si="285"/>
        <v>0</v>
      </c>
      <c r="U604" s="282">
        <f t="shared" si="285"/>
        <v>107005.57</v>
      </c>
      <c r="V604" s="282">
        <f t="shared" si="285"/>
        <v>0</v>
      </c>
      <c r="W604" s="282">
        <f t="shared" si="285"/>
        <v>0</v>
      </c>
      <c r="X604" s="282">
        <f t="shared" si="285"/>
        <v>0</v>
      </c>
      <c r="Y604" s="282">
        <f t="shared" si="285"/>
        <v>0</v>
      </c>
      <c r="Z604" s="282">
        <f t="shared" si="285"/>
        <v>0</v>
      </c>
      <c r="AA604" s="282">
        <f t="shared" si="285"/>
        <v>0</v>
      </c>
      <c r="AB604" s="282">
        <f t="shared" si="285"/>
        <v>0</v>
      </c>
      <c r="AC604" s="282">
        <f t="shared" si="285"/>
        <v>0</v>
      </c>
      <c r="AD604" s="282">
        <f t="shared" si="285"/>
        <v>0</v>
      </c>
      <c r="AE604" s="282">
        <f t="shared" si="285"/>
        <v>0</v>
      </c>
      <c r="AF604" s="282">
        <f t="shared" si="285"/>
        <v>0</v>
      </c>
      <c r="AG604" s="282">
        <f t="shared" si="285"/>
        <v>0</v>
      </c>
      <c r="AH604" s="282">
        <f t="shared" si="285"/>
        <v>0</v>
      </c>
      <c r="AI604" s="282">
        <f t="shared" si="285"/>
        <v>0</v>
      </c>
      <c r="AJ604" s="282">
        <f t="shared" si="285"/>
        <v>0</v>
      </c>
      <c r="AK604" s="282">
        <f t="shared" si="285"/>
        <v>0</v>
      </c>
      <c r="AL604" s="282">
        <f t="shared" si="285"/>
        <v>0</v>
      </c>
      <c r="AM604" s="282">
        <f t="shared" si="285"/>
        <v>0</v>
      </c>
      <c r="AN604" s="282">
        <f t="shared" si="285"/>
        <v>0</v>
      </c>
      <c r="AO604" s="282">
        <f t="shared" si="285"/>
        <v>0</v>
      </c>
    </row>
    <row r="605" spans="1:41" s="506" customFormat="1" ht="19.5" customHeight="1">
      <c r="A605" s="263"/>
      <c r="B605" s="517" t="s">
        <v>431</v>
      </c>
      <c r="C605" s="518" t="s">
        <v>1353</v>
      </c>
      <c r="D605" s="518"/>
      <c r="E605" s="519"/>
      <c r="F605" s="520"/>
      <c r="G605" s="520"/>
      <c r="H605" s="521"/>
      <c r="I605" s="237">
        <f>SUM(I606:I616)</f>
        <v>19941.58</v>
      </c>
      <c r="J605" s="237">
        <f aca="true" t="shared" si="286" ref="J605:AO605">SUM(J606:J616)</f>
        <v>0</v>
      </c>
      <c r="K605" s="237">
        <f t="shared" si="286"/>
        <v>0</v>
      </c>
      <c r="L605" s="237">
        <f t="shared" si="286"/>
        <v>0</v>
      </c>
      <c r="M605" s="237">
        <f t="shared" si="286"/>
        <v>19941.58</v>
      </c>
      <c r="N605" s="237">
        <f t="shared" si="286"/>
        <v>21904.739999999998</v>
      </c>
      <c r="O605" s="237">
        <f t="shared" si="286"/>
        <v>0</v>
      </c>
      <c r="P605" s="237">
        <f t="shared" si="286"/>
        <v>0</v>
      </c>
      <c r="Q605" s="237">
        <f t="shared" si="286"/>
        <v>0</v>
      </c>
      <c r="R605" s="237">
        <f t="shared" si="286"/>
        <v>0</v>
      </c>
      <c r="S605" s="237">
        <f t="shared" si="286"/>
        <v>0</v>
      </c>
      <c r="T605" s="237">
        <f t="shared" si="286"/>
        <v>0</v>
      </c>
      <c r="U605" s="237">
        <f t="shared" si="286"/>
        <v>21904.739999999998</v>
      </c>
      <c r="V605" s="237">
        <f t="shared" si="286"/>
        <v>0</v>
      </c>
      <c r="W605" s="237">
        <f t="shared" si="286"/>
        <v>0</v>
      </c>
      <c r="X605" s="237">
        <f t="shared" si="286"/>
        <v>0</v>
      </c>
      <c r="Y605" s="237">
        <f t="shared" si="286"/>
        <v>0</v>
      </c>
      <c r="Z605" s="237">
        <f t="shared" si="286"/>
        <v>0</v>
      </c>
      <c r="AA605" s="237">
        <f t="shared" si="286"/>
        <v>0</v>
      </c>
      <c r="AB605" s="237">
        <f t="shared" si="286"/>
        <v>0</v>
      </c>
      <c r="AC605" s="237">
        <f t="shared" si="286"/>
        <v>0</v>
      </c>
      <c r="AD605" s="237">
        <f t="shared" si="286"/>
        <v>0</v>
      </c>
      <c r="AE605" s="237">
        <f t="shared" si="286"/>
        <v>0</v>
      </c>
      <c r="AF605" s="237">
        <f t="shared" si="286"/>
        <v>0</v>
      </c>
      <c r="AG605" s="237">
        <f t="shared" si="286"/>
        <v>0</v>
      </c>
      <c r="AH605" s="237">
        <f t="shared" si="286"/>
        <v>0</v>
      </c>
      <c r="AI605" s="237">
        <f t="shared" si="286"/>
        <v>0</v>
      </c>
      <c r="AJ605" s="237">
        <f t="shared" si="286"/>
        <v>0</v>
      </c>
      <c r="AK605" s="237">
        <f t="shared" si="286"/>
        <v>0</v>
      </c>
      <c r="AL605" s="237">
        <f t="shared" si="286"/>
        <v>0</v>
      </c>
      <c r="AM605" s="237">
        <f t="shared" si="286"/>
        <v>0</v>
      </c>
      <c r="AN605" s="237">
        <f t="shared" si="286"/>
        <v>0</v>
      </c>
      <c r="AO605" s="237">
        <f t="shared" si="286"/>
        <v>0</v>
      </c>
    </row>
    <row r="606" spans="1:40" s="506" customFormat="1" ht="19.5" customHeight="1">
      <c r="A606" s="216"/>
      <c r="B606" s="517" t="s">
        <v>432</v>
      </c>
      <c r="C606" s="518" t="s">
        <v>1267</v>
      </c>
      <c r="D606" s="518"/>
      <c r="E606" s="519"/>
      <c r="F606" s="520"/>
      <c r="G606" s="520"/>
      <c r="H606" s="521"/>
      <c r="I606" s="237">
        <f aca="true" t="shared" si="287" ref="I606:I646">SUM(M606,K606)</f>
        <v>947.34</v>
      </c>
      <c r="J606" s="522"/>
      <c r="K606" s="522"/>
      <c r="L606" s="522"/>
      <c r="M606" s="530">
        <v>947.34</v>
      </c>
      <c r="N606" s="237">
        <f>SUM(P606,U606)</f>
        <v>947.34</v>
      </c>
      <c r="O606" s="522"/>
      <c r="P606" s="522"/>
      <c r="Q606" s="522"/>
      <c r="R606" s="522"/>
      <c r="S606" s="522"/>
      <c r="T606" s="237"/>
      <c r="U606" s="530">
        <v>947.34</v>
      </c>
      <c r="V606" s="240"/>
      <c r="W606" s="240"/>
      <c r="X606" s="240"/>
      <c r="Y606" s="240"/>
      <c r="Z606" s="308"/>
      <c r="AA606" s="308"/>
      <c r="AB606" s="241"/>
      <c r="AC606" s="242"/>
      <c r="AD606" s="259"/>
      <c r="AE606" s="308"/>
      <c r="AF606" s="308"/>
      <c r="AG606" s="240"/>
      <c r="AH606" s="240"/>
      <c r="AI606" s="240"/>
      <c r="AJ606" s="240"/>
      <c r="AK606" s="308"/>
      <c r="AL606" s="244"/>
      <c r="AM606" s="236"/>
      <c r="AN606" s="378"/>
    </row>
    <row r="607" spans="1:40" s="506" customFormat="1" ht="19.5" customHeight="1">
      <c r="A607" s="216"/>
      <c r="B607" s="517" t="s">
        <v>433</v>
      </c>
      <c r="C607" s="518" t="s">
        <v>1267</v>
      </c>
      <c r="D607" s="518"/>
      <c r="E607" s="519"/>
      <c r="F607" s="520"/>
      <c r="G607" s="520"/>
      <c r="H607" s="521"/>
      <c r="I607" s="237">
        <f t="shared" si="287"/>
        <v>1755.75</v>
      </c>
      <c r="J607" s="522"/>
      <c r="K607" s="522"/>
      <c r="L607" s="522"/>
      <c r="M607" s="530">
        <v>1755.75</v>
      </c>
      <c r="N607" s="237">
        <f aca="true" t="shared" si="288" ref="N607:N646">SUM(P607,U607)</f>
        <v>1755.75</v>
      </c>
      <c r="O607" s="522"/>
      <c r="P607" s="522"/>
      <c r="Q607" s="522"/>
      <c r="R607" s="522"/>
      <c r="S607" s="522"/>
      <c r="T607" s="237"/>
      <c r="U607" s="530">
        <v>1755.75</v>
      </c>
      <c r="V607" s="240"/>
      <c r="W607" s="240"/>
      <c r="X607" s="240"/>
      <c r="Y607" s="240"/>
      <c r="Z607" s="308"/>
      <c r="AA607" s="308"/>
      <c r="AB607" s="240"/>
      <c r="AC607" s="242"/>
      <c r="AD607" s="259"/>
      <c r="AE607" s="308"/>
      <c r="AF607" s="308"/>
      <c r="AG607" s="240"/>
      <c r="AH607" s="240"/>
      <c r="AI607" s="240"/>
      <c r="AJ607" s="240"/>
      <c r="AK607" s="308"/>
      <c r="AL607" s="244"/>
      <c r="AM607" s="244"/>
      <c r="AN607" s="378"/>
    </row>
    <row r="608" spans="1:40" s="506" customFormat="1" ht="19.5" customHeight="1">
      <c r="A608" s="216"/>
      <c r="B608" s="517" t="s">
        <v>434</v>
      </c>
      <c r="C608" s="518" t="s">
        <v>1267</v>
      </c>
      <c r="D608" s="518"/>
      <c r="E608" s="519"/>
      <c r="F608" s="520"/>
      <c r="G608" s="520"/>
      <c r="H608" s="521"/>
      <c r="I608" s="237">
        <f t="shared" si="287"/>
        <v>1597.35</v>
      </c>
      <c r="J608" s="522"/>
      <c r="K608" s="522"/>
      <c r="L608" s="522"/>
      <c r="M608" s="530">
        <v>1597.35</v>
      </c>
      <c r="N608" s="237">
        <f t="shared" si="288"/>
        <v>1597.35</v>
      </c>
      <c r="O608" s="522"/>
      <c r="P608" s="522"/>
      <c r="Q608" s="522"/>
      <c r="R608" s="522"/>
      <c r="S608" s="522"/>
      <c r="T608" s="237"/>
      <c r="U608" s="530">
        <v>1597.35</v>
      </c>
      <c r="V608" s="240"/>
      <c r="W608" s="240"/>
      <c r="X608" s="240"/>
      <c r="Y608" s="240"/>
      <c r="Z608" s="308"/>
      <c r="AA608" s="308"/>
      <c r="AB608" s="241"/>
      <c r="AC608" s="242"/>
      <c r="AD608" s="259"/>
      <c r="AE608" s="308"/>
      <c r="AF608" s="308"/>
      <c r="AG608" s="240"/>
      <c r="AH608" s="240"/>
      <c r="AI608" s="240"/>
      <c r="AJ608" s="240"/>
      <c r="AK608" s="308"/>
      <c r="AL608" s="244"/>
      <c r="AM608" s="236"/>
      <c r="AN608" s="378"/>
    </row>
    <row r="609" spans="1:40" s="506" customFormat="1" ht="19.5" customHeight="1">
      <c r="A609" s="216"/>
      <c r="B609" s="517" t="s">
        <v>435</v>
      </c>
      <c r="C609" s="518" t="s">
        <v>1267</v>
      </c>
      <c r="D609" s="518"/>
      <c r="E609" s="519"/>
      <c r="F609" s="520"/>
      <c r="G609" s="520"/>
      <c r="H609" s="521"/>
      <c r="I609" s="237">
        <f t="shared" si="287"/>
        <v>2692.22</v>
      </c>
      <c r="J609" s="522"/>
      <c r="K609" s="522"/>
      <c r="L609" s="522"/>
      <c r="M609" s="530">
        <v>2692.22</v>
      </c>
      <c r="N609" s="237">
        <f t="shared" si="288"/>
        <v>2692.22</v>
      </c>
      <c r="O609" s="522"/>
      <c r="P609" s="522"/>
      <c r="Q609" s="522"/>
      <c r="R609" s="522"/>
      <c r="S609" s="522"/>
      <c r="T609" s="237"/>
      <c r="U609" s="530">
        <v>2692.22</v>
      </c>
      <c r="V609" s="240"/>
      <c r="W609" s="240"/>
      <c r="X609" s="240"/>
      <c r="Y609" s="240"/>
      <c r="Z609" s="308"/>
      <c r="AA609" s="308"/>
      <c r="AB609" s="241"/>
      <c r="AC609" s="242"/>
      <c r="AD609" s="259"/>
      <c r="AE609" s="308"/>
      <c r="AF609" s="308"/>
      <c r="AG609" s="240"/>
      <c r="AH609" s="240"/>
      <c r="AI609" s="240"/>
      <c r="AJ609" s="240"/>
      <c r="AK609" s="308"/>
      <c r="AL609" s="244"/>
      <c r="AM609" s="236"/>
      <c r="AN609" s="378"/>
    </row>
    <row r="610" spans="1:40" s="506" customFormat="1" ht="19.5" customHeight="1">
      <c r="A610" s="216"/>
      <c r="B610" s="517" t="s">
        <v>436</v>
      </c>
      <c r="C610" s="518" t="s">
        <v>1267</v>
      </c>
      <c r="D610" s="518"/>
      <c r="E610" s="519"/>
      <c r="F610" s="520"/>
      <c r="G610" s="520"/>
      <c r="H610" s="521"/>
      <c r="I610" s="237">
        <f t="shared" si="287"/>
        <v>1383.58</v>
      </c>
      <c r="J610" s="522"/>
      <c r="K610" s="522"/>
      <c r="L610" s="522"/>
      <c r="M610" s="530">
        <v>1383.58</v>
      </c>
      <c r="N610" s="237">
        <f t="shared" si="288"/>
        <v>1383.58</v>
      </c>
      <c r="O610" s="522"/>
      <c r="P610" s="522"/>
      <c r="Q610" s="522"/>
      <c r="R610" s="522"/>
      <c r="S610" s="522"/>
      <c r="T610" s="237"/>
      <c r="U610" s="530">
        <v>1383.58</v>
      </c>
      <c r="V610" s="240"/>
      <c r="W610" s="240"/>
      <c r="X610" s="240"/>
      <c r="Y610" s="240"/>
      <c r="Z610" s="308"/>
      <c r="AA610" s="308"/>
      <c r="AB610" s="241"/>
      <c r="AC610" s="242"/>
      <c r="AD610" s="259"/>
      <c r="AE610" s="308"/>
      <c r="AF610" s="308"/>
      <c r="AG610" s="240"/>
      <c r="AH610" s="240"/>
      <c r="AI610" s="240"/>
      <c r="AJ610" s="240"/>
      <c r="AK610" s="308"/>
      <c r="AL610" s="244"/>
      <c r="AM610" s="236"/>
      <c r="AN610" s="378"/>
    </row>
    <row r="611" spans="1:40" s="506" customFormat="1" ht="19.5" customHeight="1">
      <c r="A611" s="216"/>
      <c r="B611" s="517" t="s">
        <v>437</v>
      </c>
      <c r="C611" s="518" t="s">
        <v>1267</v>
      </c>
      <c r="D611" s="518"/>
      <c r="E611" s="519"/>
      <c r="F611" s="520"/>
      <c r="G611" s="520"/>
      <c r="H611" s="521"/>
      <c r="I611" s="237">
        <f t="shared" si="287"/>
        <v>2133.85</v>
      </c>
      <c r="J611" s="522"/>
      <c r="K611" s="522"/>
      <c r="L611" s="522"/>
      <c r="M611" s="530">
        <v>2133.85</v>
      </c>
      <c r="N611" s="237">
        <f t="shared" si="288"/>
        <v>2133.85</v>
      </c>
      <c r="O611" s="522"/>
      <c r="P611" s="522"/>
      <c r="Q611" s="522"/>
      <c r="R611" s="522"/>
      <c r="S611" s="522"/>
      <c r="T611" s="237"/>
      <c r="U611" s="530">
        <v>2133.85</v>
      </c>
      <c r="V611" s="240"/>
      <c r="W611" s="240"/>
      <c r="X611" s="240"/>
      <c r="Y611" s="240"/>
      <c r="Z611" s="308"/>
      <c r="AA611" s="308"/>
      <c r="AB611" s="241"/>
      <c r="AC611" s="242"/>
      <c r="AD611" s="259"/>
      <c r="AE611" s="308"/>
      <c r="AF611" s="308"/>
      <c r="AG611" s="240"/>
      <c r="AH611" s="240"/>
      <c r="AI611" s="240"/>
      <c r="AJ611" s="240"/>
      <c r="AK611" s="308"/>
      <c r="AL611" s="244"/>
      <c r="AM611" s="236"/>
      <c r="AN611" s="378"/>
    </row>
    <row r="612" spans="1:40" s="506" customFormat="1" ht="19.5" customHeight="1">
      <c r="A612" s="216"/>
      <c r="B612" s="517" t="s">
        <v>438</v>
      </c>
      <c r="C612" s="518" t="s">
        <v>1267</v>
      </c>
      <c r="D612" s="518"/>
      <c r="E612" s="519"/>
      <c r="F612" s="520"/>
      <c r="G612" s="520"/>
      <c r="H612" s="521"/>
      <c r="I612" s="237">
        <f t="shared" si="287"/>
        <v>1699.26</v>
      </c>
      <c r="J612" s="522"/>
      <c r="K612" s="522"/>
      <c r="L612" s="522"/>
      <c r="M612" s="530">
        <v>1699.26</v>
      </c>
      <c r="N612" s="237">
        <f t="shared" si="288"/>
        <v>1669.26</v>
      </c>
      <c r="O612" s="522"/>
      <c r="P612" s="522"/>
      <c r="Q612" s="522"/>
      <c r="R612" s="522"/>
      <c r="S612" s="522"/>
      <c r="T612" s="237"/>
      <c r="U612" s="530">
        <v>1669.26</v>
      </c>
      <c r="V612" s="240"/>
      <c r="W612" s="240"/>
      <c r="X612" s="240"/>
      <c r="Y612" s="240"/>
      <c r="Z612" s="308"/>
      <c r="AA612" s="308"/>
      <c r="AB612" s="241"/>
      <c r="AC612" s="242"/>
      <c r="AD612" s="259"/>
      <c r="AE612" s="308"/>
      <c r="AF612" s="308"/>
      <c r="AG612" s="240"/>
      <c r="AH612" s="240"/>
      <c r="AI612" s="240"/>
      <c r="AJ612" s="240"/>
      <c r="AK612" s="308"/>
      <c r="AL612" s="244"/>
      <c r="AM612" s="236"/>
      <c r="AN612" s="378"/>
    </row>
    <row r="613" spans="1:40" s="506" customFormat="1" ht="19.5" customHeight="1">
      <c r="A613" s="216"/>
      <c r="B613" s="517" t="s">
        <v>439</v>
      </c>
      <c r="C613" s="518" t="s">
        <v>1267</v>
      </c>
      <c r="D613" s="518"/>
      <c r="E613" s="519"/>
      <c r="F613" s="520"/>
      <c r="G613" s="520"/>
      <c r="H613" s="521"/>
      <c r="I613" s="237">
        <f t="shared" si="287"/>
        <v>1699.7</v>
      </c>
      <c r="J613" s="522"/>
      <c r="K613" s="522"/>
      <c r="L613" s="522"/>
      <c r="M613" s="530">
        <v>1699.7</v>
      </c>
      <c r="N613" s="237">
        <f t="shared" si="288"/>
        <v>1699.7</v>
      </c>
      <c r="O613" s="522"/>
      <c r="P613" s="522"/>
      <c r="Q613" s="522"/>
      <c r="R613" s="522"/>
      <c r="S613" s="522"/>
      <c r="T613" s="237"/>
      <c r="U613" s="530">
        <v>1699.7</v>
      </c>
      <c r="V613" s="240"/>
      <c r="W613" s="240"/>
      <c r="X613" s="240"/>
      <c r="Y613" s="240"/>
      <c r="Z613" s="308"/>
      <c r="AA613" s="308"/>
      <c r="AB613" s="241"/>
      <c r="AC613" s="242"/>
      <c r="AD613" s="259"/>
      <c r="AE613" s="308"/>
      <c r="AF613" s="308"/>
      <c r="AG613" s="240"/>
      <c r="AH613" s="240"/>
      <c r="AI613" s="240"/>
      <c r="AJ613" s="240"/>
      <c r="AK613" s="308"/>
      <c r="AL613" s="244"/>
      <c r="AM613" s="236"/>
      <c r="AN613" s="378"/>
    </row>
    <row r="614" spans="1:40" s="506" customFormat="1" ht="19.5" customHeight="1">
      <c r="A614" s="216"/>
      <c r="B614" s="517" t="s">
        <v>440</v>
      </c>
      <c r="C614" s="518" t="s">
        <v>1267</v>
      </c>
      <c r="D614" s="518"/>
      <c r="E614" s="519"/>
      <c r="F614" s="520"/>
      <c r="G614" s="520"/>
      <c r="H614" s="521"/>
      <c r="I614" s="237">
        <f t="shared" si="287"/>
        <v>1993.17</v>
      </c>
      <c r="J614" s="522"/>
      <c r="K614" s="522"/>
      <c r="L614" s="522"/>
      <c r="M614" s="530">
        <v>1993.17</v>
      </c>
      <c r="N614" s="237">
        <f t="shared" si="288"/>
        <v>3986.34</v>
      </c>
      <c r="O614" s="522"/>
      <c r="P614" s="522"/>
      <c r="Q614" s="522"/>
      <c r="R614" s="522"/>
      <c r="S614" s="522"/>
      <c r="T614" s="237"/>
      <c r="U614" s="530">
        <f>1993.17+1993.17</f>
        <v>3986.34</v>
      </c>
      <c r="V614" s="240"/>
      <c r="W614" s="240"/>
      <c r="X614" s="240"/>
      <c r="Y614" s="240"/>
      <c r="Z614" s="308"/>
      <c r="AA614" s="308"/>
      <c r="AB614" s="241"/>
      <c r="AC614" s="242"/>
      <c r="AD614" s="259"/>
      <c r="AE614" s="308"/>
      <c r="AF614" s="308"/>
      <c r="AG614" s="240"/>
      <c r="AH614" s="240"/>
      <c r="AI614" s="240"/>
      <c r="AJ614" s="240"/>
      <c r="AK614" s="308"/>
      <c r="AL614" s="244"/>
      <c r="AM614" s="236"/>
      <c r="AN614" s="378"/>
    </row>
    <row r="615" spans="1:40" s="506" customFormat="1" ht="27.75" customHeight="1">
      <c r="A615" s="216"/>
      <c r="B615" s="517" t="s">
        <v>441</v>
      </c>
      <c r="C615" s="518" t="s">
        <v>1267</v>
      </c>
      <c r="D615" s="518"/>
      <c r="E615" s="519"/>
      <c r="F615" s="520"/>
      <c r="G615" s="520"/>
      <c r="H615" s="521"/>
      <c r="I615" s="237">
        <f t="shared" si="287"/>
        <v>4009.68</v>
      </c>
      <c r="J615" s="522"/>
      <c r="K615" s="522"/>
      <c r="L615" s="522"/>
      <c r="M615" s="530">
        <f>2008.84+2000.84</f>
        <v>4009.68</v>
      </c>
      <c r="N615" s="237">
        <f t="shared" si="288"/>
        <v>4009.68</v>
      </c>
      <c r="O615" s="522"/>
      <c r="P615" s="522"/>
      <c r="Q615" s="522"/>
      <c r="R615" s="522"/>
      <c r="S615" s="522"/>
      <c r="T615" s="237"/>
      <c r="U615" s="530">
        <f>2008.84+2000.84</f>
        <v>4009.68</v>
      </c>
      <c r="V615" s="240"/>
      <c r="W615" s="240"/>
      <c r="X615" s="240"/>
      <c r="Y615" s="240"/>
      <c r="Z615" s="308"/>
      <c r="AA615" s="308"/>
      <c r="AB615" s="241"/>
      <c r="AC615" s="242"/>
      <c r="AD615" s="259"/>
      <c r="AE615" s="308"/>
      <c r="AF615" s="308"/>
      <c r="AG615" s="240"/>
      <c r="AH615" s="240"/>
      <c r="AI615" s="240"/>
      <c r="AJ615" s="240"/>
      <c r="AK615" s="308"/>
      <c r="AL615" s="244"/>
      <c r="AM615" s="236"/>
      <c r="AN615" s="378"/>
    </row>
    <row r="616" spans="1:40" s="506" customFormat="1" ht="19.5" customHeight="1">
      <c r="A616" s="216"/>
      <c r="B616" s="517" t="s">
        <v>442</v>
      </c>
      <c r="C616" s="518" t="s">
        <v>1267</v>
      </c>
      <c r="D616" s="518"/>
      <c r="E616" s="519"/>
      <c r="F616" s="520"/>
      <c r="G616" s="520"/>
      <c r="H616" s="521"/>
      <c r="I616" s="237">
        <f t="shared" si="287"/>
        <v>29.68</v>
      </c>
      <c r="J616" s="522"/>
      <c r="K616" s="522"/>
      <c r="L616" s="522"/>
      <c r="M616" s="530">
        <v>29.68</v>
      </c>
      <c r="N616" s="237">
        <f t="shared" si="288"/>
        <v>29.67</v>
      </c>
      <c r="O616" s="522"/>
      <c r="P616" s="522"/>
      <c r="Q616" s="522"/>
      <c r="R616" s="522"/>
      <c r="S616" s="522"/>
      <c r="T616" s="237"/>
      <c r="U616" s="530">
        <v>29.67</v>
      </c>
      <c r="V616" s="240"/>
      <c r="W616" s="240"/>
      <c r="X616" s="240"/>
      <c r="Y616" s="240"/>
      <c r="Z616" s="308"/>
      <c r="AA616" s="308"/>
      <c r="AB616" s="241"/>
      <c r="AC616" s="242"/>
      <c r="AD616" s="259"/>
      <c r="AE616" s="308"/>
      <c r="AF616" s="308"/>
      <c r="AG616" s="240"/>
      <c r="AH616" s="240"/>
      <c r="AI616" s="240"/>
      <c r="AJ616" s="240"/>
      <c r="AK616" s="308"/>
      <c r="AL616" s="244"/>
      <c r="AM616" s="236"/>
      <c r="AN616" s="378"/>
    </row>
    <row r="617" spans="1:40" s="506" customFormat="1" ht="19.5" customHeight="1">
      <c r="A617" s="216"/>
      <c r="B617" s="517" t="s">
        <v>443</v>
      </c>
      <c r="C617" s="518" t="s">
        <v>1267</v>
      </c>
      <c r="D617" s="518"/>
      <c r="E617" s="519"/>
      <c r="F617" s="520"/>
      <c r="G617" s="520"/>
      <c r="H617" s="521"/>
      <c r="I617" s="237">
        <f t="shared" si="287"/>
        <v>5263.14</v>
      </c>
      <c r="J617" s="522"/>
      <c r="K617" s="522"/>
      <c r="L617" s="522"/>
      <c r="M617" s="530">
        <v>5263.14</v>
      </c>
      <c r="N617" s="237">
        <f t="shared" si="288"/>
        <v>5589.66</v>
      </c>
      <c r="O617" s="522"/>
      <c r="P617" s="522"/>
      <c r="Q617" s="522"/>
      <c r="R617" s="522"/>
      <c r="S617" s="522"/>
      <c r="T617" s="237"/>
      <c r="U617" s="530">
        <v>5589.66</v>
      </c>
      <c r="V617" s="240"/>
      <c r="W617" s="240"/>
      <c r="X617" s="240"/>
      <c r="Y617" s="240"/>
      <c r="Z617" s="308"/>
      <c r="AA617" s="308"/>
      <c r="AB617" s="241"/>
      <c r="AC617" s="242"/>
      <c r="AD617" s="259"/>
      <c r="AE617" s="308"/>
      <c r="AF617" s="308"/>
      <c r="AG617" s="240"/>
      <c r="AH617" s="240"/>
      <c r="AI617" s="240"/>
      <c r="AJ617" s="240"/>
      <c r="AK617" s="308"/>
      <c r="AL617" s="244"/>
      <c r="AM617" s="236"/>
      <c r="AN617" s="378"/>
    </row>
    <row r="618" spans="1:40" s="506" customFormat="1" ht="19.5" customHeight="1">
      <c r="A618" s="216"/>
      <c r="B618" s="517" t="s">
        <v>444</v>
      </c>
      <c r="C618" s="518" t="s">
        <v>1267</v>
      </c>
      <c r="D618" s="518"/>
      <c r="E618" s="519"/>
      <c r="F618" s="520"/>
      <c r="G618" s="520"/>
      <c r="H618" s="521"/>
      <c r="I618" s="237">
        <f t="shared" si="287"/>
        <v>1447.71</v>
      </c>
      <c r="J618" s="522"/>
      <c r="K618" s="522"/>
      <c r="L618" s="522"/>
      <c r="M618" s="530">
        <v>1447.71</v>
      </c>
      <c r="N618" s="237">
        <f t="shared" si="288"/>
        <v>3752.35</v>
      </c>
      <c r="O618" s="522"/>
      <c r="P618" s="522"/>
      <c r="Q618" s="522"/>
      <c r="R618" s="522"/>
      <c r="S618" s="522"/>
      <c r="T618" s="237"/>
      <c r="U618" s="530">
        <v>3752.35</v>
      </c>
      <c r="V618" s="240"/>
      <c r="W618" s="240"/>
      <c r="X618" s="240"/>
      <c r="Y618" s="240"/>
      <c r="Z618" s="308"/>
      <c r="AA618" s="308"/>
      <c r="AB618" s="241"/>
      <c r="AC618" s="242"/>
      <c r="AD618" s="259"/>
      <c r="AE618" s="308"/>
      <c r="AF618" s="308"/>
      <c r="AG618" s="240"/>
      <c r="AH618" s="240"/>
      <c r="AI618" s="240"/>
      <c r="AJ618" s="240"/>
      <c r="AK618" s="308"/>
      <c r="AL618" s="244"/>
      <c r="AM618" s="236"/>
      <c r="AN618" s="378"/>
    </row>
    <row r="619" spans="1:40" s="506" customFormat="1" ht="19.5" customHeight="1">
      <c r="A619" s="216"/>
      <c r="B619" s="517" t="s">
        <v>445</v>
      </c>
      <c r="C619" s="518" t="s">
        <v>1355</v>
      </c>
      <c r="D619" s="518"/>
      <c r="E619" s="519"/>
      <c r="F619" s="520"/>
      <c r="G619" s="520"/>
      <c r="H619" s="521"/>
      <c r="I619" s="237">
        <f t="shared" si="287"/>
        <v>2270.93</v>
      </c>
      <c r="J619" s="522"/>
      <c r="K619" s="522"/>
      <c r="L619" s="522"/>
      <c r="M619" s="530">
        <v>2270.93</v>
      </c>
      <c r="N619" s="237">
        <f t="shared" si="288"/>
        <v>2270.93</v>
      </c>
      <c r="O619" s="522"/>
      <c r="P619" s="522"/>
      <c r="Q619" s="522"/>
      <c r="R619" s="522"/>
      <c r="S619" s="522"/>
      <c r="T619" s="237"/>
      <c r="U619" s="530">
        <v>2270.93</v>
      </c>
      <c r="V619" s="240"/>
      <c r="W619" s="240"/>
      <c r="X619" s="240"/>
      <c r="Y619" s="240"/>
      <c r="Z619" s="308"/>
      <c r="AA619" s="308"/>
      <c r="AB619" s="241"/>
      <c r="AC619" s="242"/>
      <c r="AD619" s="259"/>
      <c r="AE619" s="308"/>
      <c r="AF619" s="308"/>
      <c r="AG619" s="240"/>
      <c r="AH619" s="240"/>
      <c r="AI619" s="240"/>
      <c r="AJ619" s="240"/>
      <c r="AK619" s="308"/>
      <c r="AL619" s="244"/>
      <c r="AM619" s="236"/>
      <c r="AN619" s="378"/>
    </row>
    <row r="620" spans="1:40" s="506" customFormat="1" ht="19.5" customHeight="1">
      <c r="A620" s="216"/>
      <c r="B620" s="517" t="s">
        <v>446</v>
      </c>
      <c r="C620" s="518" t="s">
        <v>1267</v>
      </c>
      <c r="D620" s="518"/>
      <c r="E620" s="519"/>
      <c r="F620" s="520"/>
      <c r="G620" s="520"/>
      <c r="H620" s="521"/>
      <c r="I620" s="237">
        <f t="shared" si="287"/>
        <v>201.38</v>
      </c>
      <c r="J620" s="522"/>
      <c r="K620" s="522"/>
      <c r="L620" s="522"/>
      <c r="M620" s="530">
        <v>201.38</v>
      </c>
      <c r="N620" s="237">
        <f t="shared" si="288"/>
        <v>201.38</v>
      </c>
      <c r="O620" s="522"/>
      <c r="P620" s="522"/>
      <c r="Q620" s="522"/>
      <c r="R620" s="522"/>
      <c r="S620" s="522"/>
      <c r="T620" s="237"/>
      <c r="U620" s="530">
        <v>201.38</v>
      </c>
      <c r="V620" s="240"/>
      <c r="W620" s="240"/>
      <c r="X620" s="240"/>
      <c r="Y620" s="240"/>
      <c r="Z620" s="308"/>
      <c r="AA620" s="308"/>
      <c r="AB620" s="241"/>
      <c r="AC620" s="242"/>
      <c r="AD620" s="259"/>
      <c r="AE620" s="308"/>
      <c r="AF620" s="308"/>
      <c r="AG620" s="240"/>
      <c r="AH620" s="240"/>
      <c r="AI620" s="240"/>
      <c r="AJ620" s="240"/>
      <c r="AK620" s="308"/>
      <c r="AL620" s="244"/>
      <c r="AM620" s="236"/>
      <c r="AN620" s="378"/>
    </row>
    <row r="621" spans="1:40" s="506" customFormat="1" ht="19.5" customHeight="1">
      <c r="A621" s="216"/>
      <c r="B621" s="517" t="s">
        <v>447</v>
      </c>
      <c r="C621" s="518" t="s">
        <v>1267</v>
      </c>
      <c r="D621" s="518"/>
      <c r="E621" s="519"/>
      <c r="F621" s="520"/>
      <c r="G621" s="520"/>
      <c r="H621" s="521"/>
      <c r="I621" s="237">
        <f t="shared" si="287"/>
        <v>1414.02</v>
      </c>
      <c r="J621" s="522"/>
      <c r="K621" s="522"/>
      <c r="L621" s="522"/>
      <c r="M621" s="530">
        <f>1130.87+283.15</f>
        <v>1414.02</v>
      </c>
      <c r="N621" s="237">
        <f t="shared" si="288"/>
        <v>1414.02</v>
      </c>
      <c r="O621" s="522"/>
      <c r="P621" s="522"/>
      <c r="Q621" s="522"/>
      <c r="R621" s="522"/>
      <c r="S621" s="522"/>
      <c r="T621" s="237"/>
      <c r="U621" s="530">
        <f>1130.87+283.15</f>
        <v>1414.02</v>
      </c>
      <c r="V621" s="240"/>
      <c r="W621" s="240"/>
      <c r="X621" s="240"/>
      <c r="Y621" s="240"/>
      <c r="Z621" s="308"/>
      <c r="AA621" s="308"/>
      <c r="AB621" s="241"/>
      <c r="AC621" s="242"/>
      <c r="AD621" s="259"/>
      <c r="AE621" s="308"/>
      <c r="AF621" s="308"/>
      <c r="AG621" s="240"/>
      <c r="AH621" s="240"/>
      <c r="AI621" s="240"/>
      <c r="AJ621" s="240"/>
      <c r="AK621" s="308"/>
      <c r="AL621" s="244"/>
      <c r="AM621" s="236"/>
      <c r="AN621" s="378"/>
    </row>
    <row r="622" spans="1:40" s="506" customFormat="1" ht="19.5" customHeight="1">
      <c r="A622" s="216"/>
      <c r="B622" s="517" t="s">
        <v>446</v>
      </c>
      <c r="C622" s="518" t="s">
        <v>1267</v>
      </c>
      <c r="D622" s="518"/>
      <c r="E622" s="519"/>
      <c r="F622" s="520"/>
      <c r="G622" s="520"/>
      <c r="H622" s="521"/>
      <c r="I622" s="237">
        <f t="shared" si="287"/>
        <v>1692.17</v>
      </c>
      <c r="J622" s="522"/>
      <c r="K622" s="522"/>
      <c r="L622" s="522"/>
      <c r="M622" s="530">
        <v>1692.17</v>
      </c>
      <c r="N622" s="237">
        <f t="shared" si="288"/>
        <v>1692.17</v>
      </c>
      <c r="O622" s="522"/>
      <c r="P622" s="522"/>
      <c r="Q622" s="522"/>
      <c r="R622" s="522"/>
      <c r="S622" s="522"/>
      <c r="T622" s="237"/>
      <c r="U622" s="530">
        <v>1692.17</v>
      </c>
      <c r="V622" s="240"/>
      <c r="W622" s="240"/>
      <c r="X622" s="240"/>
      <c r="Y622" s="240"/>
      <c r="Z622" s="308"/>
      <c r="AA622" s="308"/>
      <c r="AB622" s="241"/>
      <c r="AC622" s="242"/>
      <c r="AD622" s="259"/>
      <c r="AE622" s="308"/>
      <c r="AF622" s="308"/>
      <c r="AG622" s="240"/>
      <c r="AH622" s="240"/>
      <c r="AI622" s="240"/>
      <c r="AJ622" s="240"/>
      <c r="AK622" s="308"/>
      <c r="AL622" s="244"/>
      <c r="AM622" s="236"/>
      <c r="AN622" s="378"/>
    </row>
    <row r="623" spans="1:40" s="506" customFormat="1" ht="19.5" customHeight="1">
      <c r="A623" s="216"/>
      <c r="B623" s="517" t="s">
        <v>448</v>
      </c>
      <c r="C623" s="518" t="s">
        <v>1267</v>
      </c>
      <c r="D623" s="518"/>
      <c r="E623" s="519"/>
      <c r="F623" s="520"/>
      <c r="G623" s="520"/>
      <c r="H623" s="521"/>
      <c r="I623" s="237">
        <f t="shared" si="287"/>
        <v>2162.69</v>
      </c>
      <c r="J623" s="522"/>
      <c r="K623" s="522"/>
      <c r="L623" s="522"/>
      <c r="M623" s="522">
        <v>2162.69</v>
      </c>
      <c r="N623" s="237">
        <f t="shared" si="288"/>
        <v>2162.69</v>
      </c>
      <c r="O623" s="522"/>
      <c r="P623" s="522"/>
      <c r="Q623" s="522"/>
      <c r="R623" s="522"/>
      <c r="S623" s="522"/>
      <c r="T623" s="237"/>
      <c r="U623" s="530">
        <v>2162.69</v>
      </c>
      <c r="V623" s="240"/>
      <c r="W623" s="240"/>
      <c r="X623" s="240"/>
      <c r="Y623" s="240"/>
      <c r="Z623" s="308"/>
      <c r="AA623" s="308"/>
      <c r="AB623" s="241"/>
      <c r="AC623" s="242"/>
      <c r="AD623" s="259"/>
      <c r="AE623" s="308"/>
      <c r="AF623" s="308"/>
      <c r="AG623" s="240"/>
      <c r="AH623" s="240"/>
      <c r="AI623" s="240"/>
      <c r="AJ623" s="240"/>
      <c r="AK623" s="308"/>
      <c r="AL623" s="244"/>
      <c r="AM623" s="236"/>
      <c r="AN623" s="378"/>
    </row>
    <row r="624" spans="1:40" s="506" customFormat="1" ht="19.5" customHeight="1">
      <c r="A624" s="216"/>
      <c r="B624" s="517" t="s">
        <v>449</v>
      </c>
      <c r="C624" s="518" t="s">
        <v>1267</v>
      </c>
      <c r="D624" s="518"/>
      <c r="E624" s="519"/>
      <c r="F624" s="520"/>
      <c r="G624" s="520"/>
      <c r="H624" s="521"/>
      <c r="I624" s="237">
        <f t="shared" si="287"/>
        <v>312.87</v>
      </c>
      <c r="J624" s="522"/>
      <c r="K624" s="522"/>
      <c r="L624" s="522"/>
      <c r="M624" s="522">
        <v>312.87</v>
      </c>
      <c r="N624" s="237">
        <f t="shared" si="288"/>
        <v>312.87</v>
      </c>
      <c r="O624" s="522"/>
      <c r="P624" s="522"/>
      <c r="Q624" s="522"/>
      <c r="R624" s="522"/>
      <c r="S624" s="522"/>
      <c r="T624" s="237"/>
      <c r="U624" s="530">
        <v>312.87</v>
      </c>
      <c r="V624" s="240"/>
      <c r="W624" s="240"/>
      <c r="X624" s="240"/>
      <c r="Y624" s="240"/>
      <c r="Z624" s="308"/>
      <c r="AA624" s="308"/>
      <c r="AB624" s="241"/>
      <c r="AC624" s="242"/>
      <c r="AD624" s="259"/>
      <c r="AE624" s="308"/>
      <c r="AF624" s="308"/>
      <c r="AG624" s="240"/>
      <c r="AH624" s="240"/>
      <c r="AI624" s="240"/>
      <c r="AJ624" s="240"/>
      <c r="AK624" s="308"/>
      <c r="AL624" s="244"/>
      <c r="AM624" s="236"/>
      <c r="AN624" s="378"/>
    </row>
    <row r="625" spans="1:40" s="506" customFormat="1" ht="19.5" customHeight="1">
      <c r="A625" s="216"/>
      <c r="B625" s="517" t="s">
        <v>450</v>
      </c>
      <c r="C625" s="518" t="s">
        <v>1267</v>
      </c>
      <c r="D625" s="518"/>
      <c r="E625" s="519"/>
      <c r="F625" s="520"/>
      <c r="G625" s="520"/>
      <c r="H625" s="521"/>
      <c r="I625" s="237">
        <f t="shared" si="287"/>
        <v>1187.28</v>
      </c>
      <c r="J625" s="522"/>
      <c r="K625" s="522"/>
      <c r="L625" s="522"/>
      <c r="M625" s="522">
        <v>1187.28</v>
      </c>
      <c r="N625" s="237">
        <f t="shared" si="288"/>
        <v>1187.28</v>
      </c>
      <c r="O625" s="522"/>
      <c r="P625" s="522"/>
      <c r="Q625" s="522"/>
      <c r="R625" s="522"/>
      <c r="S625" s="522"/>
      <c r="T625" s="237"/>
      <c r="U625" s="530">
        <v>1187.28</v>
      </c>
      <c r="V625" s="240"/>
      <c r="W625" s="240"/>
      <c r="X625" s="240"/>
      <c r="Y625" s="240"/>
      <c r="Z625" s="308"/>
      <c r="AA625" s="308"/>
      <c r="AB625" s="241"/>
      <c r="AC625" s="242"/>
      <c r="AD625" s="259"/>
      <c r="AE625" s="308"/>
      <c r="AF625" s="308"/>
      <c r="AG625" s="240"/>
      <c r="AH625" s="240"/>
      <c r="AI625" s="240"/>
      <c r="AJ625" s="240"/>
      <c r="AK625" s="308"/>
      <c r="AL625" s="244"/>
      <c r="AM625" s="236"/>
      <c r="AN625" s="378"/>
    </row>
    <row r="626" spans="1:40" s="506" customFormat="1" ht="19.5" customHeight="1">
      <c r="A626" s="216"/>
      <c r="B626" s="517" t="s">
        <v>451</v>
      </c>
      <c r="C626" s="518" t="s">
        <v>1267</v>
      </c>
      <c r="D626" s="518"/>
      <c r="E626" s="519"/>
      <c r="F626" s="520"/>
      <c r="G626" s="520"/>
      <c r="H626" s="521"/>
      <c r="I626" s="237">
        <f t="shared" si="287"/>
        <v>1234.52</v>
      </c>
      <c r="J626" s="522"/>
      <c r="K626" s="522"/>
      <c r="L626" s="522"/>
      <c r="M626" s="522">
        <v>1234.52</v>
      </c>
      <c r="N626" s="237">
        <f t="shared" si="288"/>
        <v>1234.52</v>
      </c>
      <c r="O626" s="522"/>
      <c r="P626" s="522"/>
      <c r="Q626" s="522"/>
      <c r="R626" s="522"/>
      <c r="S626" s="522"/>
      <c r="T626" s="237"/>
      <c r="U626" s="530">
        <v>1234.52</v>
      </c>
      <c r="V626" s="240"/>
      <c r="W626" s="240"/>
      <c r="X626" s="240"/>
      <c r="Y626" s="240"/>
      <c r="Z626" s="308"/>
      <c r="AA626" s="308"/>
      <c r="AB626" s="241"/>
      <c r="AC626" s="242"/>
      <c r="AD626" s="259"/>
      <c r="AE626" s="308"/>
      <c r="AF626" s="308"/>
      <c r="AG626" s="240"/>
      <c r="AH626" s="240"/>
      <c r="AI626" s="240"/>
      <c r="AJ626" s="240"/>
      <c r="AK626" s="308"/>
      <c r="AL626" s="244"/>
      <c r="AM626" s="236"/>
      <c r="AN626" s="378"/>
    </row>
    <row r="627" spans="1:40" s="506" customFormat="1" ht="19.5" customHeight="1">
      <c r="A627" s="216"/>
      <c r="B627" s="517" t="s">
        <v>452</v>
      </c>
      <c r="C627" s="518" t="s">
        <v>1267</v>
      </c>
      <c r="D627" s="518"/>
      <c r="E627" s="519"/>
      <c r="F627" s="520"/>
      <c r="G627" s="520"/>
      <c r="H627" s="521"/>
      <c r="I627" s="237">
        <f t="shared" si="287"/>
        <v>12129.53</v>
      </c>
      <c r="J627" s="522"/>
      <c r="K627" s="522"/>
      <c r="L627" s="522"/>
      <c r="M627" s="522">
        <f>10372.61+437.97+846.02+472.93</f>
        <v>12129.53</v>
      </c>
      <c r="N627" s="237">
        <f t="shared" si="288"/>
        <v>12129.53</v>
      </c>
      <c r="O627" s="522"/>
      <c r="P627" s="522"/>
      <c r="Q627" s="522"/>
      <c r="R627" s="522"/>
      <c r="S627" s="522"/>
      <c r="T627" s="237"/>
      <c r="U627" s="530">
        <v>12129.53</v>
      </c>
      <c r="V627" s="240"/>
      <c r="W627" s="240"/>
      <c r="X627" s="240"/>
      <c r="Y627" s="240"/>
      <c r="Z627" s="308"/>
      <c r="AA627" s="308"/>
      <c r="AB627" s="241"/>
      <c r="AC627" s="242"/>
      <c r="AD627" s="259"/>
      <c r="AE627" s="308"/>
      <c r="AF627" s="308"/>
      <c r="AG627" s="240"/>
      <c r="AH627" s="240"/>
      <c r="AI627" s="240"/>
      <c r="AJ627" s="240"/>
      <c r="AK627" s="308"/>
      <c r="AL627" s="244"/>
      <c r="AM627" s="236"/>
      <c r="AN627" s="378"/>
    </row>
    <row r="628" spans="1:40" s="506" customFormat="1" ht="19.5" customHeight="1">
      <c r="A628" s="216"/>
      <c r="B628" s="517" t="s">
        <v>1696</v>
      </c>
      <c r="C628" s="518" t="s">
        <v>1267</v>
      </c>
      <c r="D628" s="518"/>
      <c r="E628" s="519"/>
      <c r="F628" s="520"/>
      <c r="G628" s="520"/>
      <c r="H628" s="521"/>
      <c r="I628" s="237">
        <f t="shared" si="287"/>
        <v>2463.97</v>
      </c>
      <c r="J628" s="522"/>
      <c r="K628" s="522"/>
      <c r="L628" s="522"/>
      <c r="M628" s="522">
        <v>2463.97</v>
      </c>
      <c r="N628" s="237">
        <f t="shared" si="288"/>
        <v>2463.97</v>
      </c>
      <c r="O628" s="522"/>
      <c r="P628" s="522"/>
      <c r="Q628" s="522"/>
      <c r="R628" s="522"/>
      <c r="S628" s="522"/>
      <c r="T628" s="237"/>
      <c r="U628" s="530">
        <v>2463.97</v>
      </c>
      <c r="V628" s="240"/>
      <c r="W628" s="240"/>
      <c r="X628" s="240"/>
      <c r="Y628" s="240"/>
      <c r="Z628" s="308"/>
      <c r="AA628" s="308"/>
      <c r="AB628" s="241"/>
      <c r="AC628" s="242"/>
      <c r="AD628" s="259"/>
      <c r="AE628" s="308"/>
      <c r="AF628" s="308"/>
      <c r="AG628" s="240"/>
      <c r="AH628" s="240"/>
      <c r="AI628" s="240"/>
      <c r="AJ628" s="240"/>
      <c r="AK628" s="308"/>
      <c r="AL628" s="244"/>
      <c r="AM628" s="236"/>
      <c r="AN628" s="378"/>
    </row>
    <row r="629" spans="1:40" s="506" customFormat="1" ht="19.5" customHeight="1">
      <c r="A629" s="216"/>
      <c r="B629" s="517" t="s">
        <v>453</v>
      </c>
      <c r="C629" s="518" t="s">
        <v>1624</v>
      </c>
      <c r="D629" s="518"/>
      <c r="E629" s="519"/>
      <c r="F629" s="520"/>
      <c r="G629" s="520"/>
      <c r="H629" s="521"/>
      <c r="I629" s="237">
        <f t="shared" si="287"/>
        <v>1892.11</v>
      </c>
      <c r="J629" s="522"/>
      <c r="K629" s="522"/>
      <c r="L629" s="522"/>
      <c r="M629" s="530">
        <v>1892.11</v>
      </c>
      <c r="N629" s="237">
        <f t="shared" si="288"/>
        <v>1892.11</v>
      </c>
      <c r="O629" s="522"/>
      <c r="P629" s="522"/>
      <c r="Q629" s="522"/>
      <c r="R629" s="522"/>
      <c r="S629" s="522"/>
      <c r="T629" s="237"/>
      <c r="U629" s="530">
        <v>1892.11</v>
      </c>
      <c r="V629" s="240"/>
      <c r="W629" s="240"/>
      <c r="X629" s="240"/>
      <c r="Y629" s="240"/>
      <c r="Z629" s="308"/>
      <c r="AA629" s="308"/>
      <c r="AB629" s="241"/>
      <c r="AC629" s="242"/>
      <c r="AD629" s="259"/>
      <c r="AE629" s="308"/>
      <c r="AF629" s="308"/>
      <c r="AG629" s="240"/>
      <c r="AH629" s="240"/>
      <c r="AI629" s="240"/>
      <c r="AJ629" s="240"/>
      <c r="AK629" s="308"/>
      <c r="AL629" s="244"/>
      <c r="AM629" s="236"/>
      <c r="AN629" s="378"/>
    </row>
    <row r="630" spans="1:40" s="506" customFormat="1" ht="19.5" customHeight="1">
      <c r="A630" s="216"/>
      <c r="B630" s="517" t="s">
        <v>454</v>
      </c>
      <c r="C630" s="518" t="s">
        <v>1267</v>
      </c>
      <c r="D630" s="518"/>
      <c r="E630" s="519"/>
      <c r="F630" s="520"/>
      <c r="G630" s="520"/>
      <c r="H630" s="521"/>
      <c r="I630" s="237">
        <f t="shared" si="287"/>
        <v>3311.12</v>
      </c>
      <c r="J630" s="522"/>
      <c r="K630" s="522"/>
      <c r="L630" s="522"/>
      <c r="M630" s="530">
        <v>3311.12</v>
      </c>
      <c r="N630" s="237">
        <f t="shared" si="288"/>
        <v>3311.12</v>
      </c>
      <c r="O630" s="522"/>
      <c r="P630" s="522"/>
      <c r="Q630" s="522"/>
      <c r="R630" s="522"/>
      <c r="S630" s="522"/>
      <c r="T630" s="237"/>
      <c r="U630" s="530">
        <v>3311.12</v>
      </c>
      <c r="V630" s="240"/>
      <c r="W630" s="240"/>
      <c r="X630" s="240"/>
      <c r="Y630" s="240"/>
      <c r="Z630" s="308"/>
      <c r="AA630" s="308"/>
      <c r="AB630" s="241"/>
      <c r="AC630" s="242"/>
      <c r="AD630" s="259"/>
      <c r="AE630" s="308"/>
      <c r="AF630" s="308"/>
      <c r="AG630" s="240"/>
      <c r="AH630" s="240"/>
      <c r="AI630" s="240"/>
      <c r="AJ630" s="240"/>
      <c r="AK630" s="308"/>
      <c r="AL630" s="244"/>
      <c r="AM630" s="236"/>
      <c r="AN630" s="378"/>
    </row>
    <row r="631" spans="1:40" s="506" customFormat="1" ht="19.5" customHeight="1">
      <c r="A631" s="216"/>
      <c r="B631" s="517" t="s">
        <v>455</v>
      </c>
      <c r="C631" s="518" t="s">
        <v>1267</v>
      </c>
      <c r="D631" s="518"/>
      <c r="E631" s="519"/>
      <c r="F631" s="520"/>
      <c r="G631" s="520"/>
      <c r="H631" s="521"/>
      <c r="I631" s="237">
        <f t="shared" si="287"/>
        <v>3035.26</v>
      </c>
      <c r="J631" s="522"/>
      <c r="K631" s="522"/>
      <c r="L631" s="522"/>
      <c r="M631" s="530">
        <v>3035.26</v>
      </c>
      <c r="N631" s="237">
        <f t="shared" si="288"/>
        <v>3035.26</v>
      </c>
      <c r="O631" s="522"/>
      <c r="P631" s="522"/>
      <c r="Q631" s="522"/>
      <c r="R631" s="522"/>
      <c r="S631" s="522"/>
      <c r="T631" s="237"/>
      <c r="U631" s="530">
        <v>3035.26</v>
      </c>
      <c r="V631" s="240"/>
      <c r="W631" s="240"/>
      <c r="X631" s="240"/>
      <c r="Y631" s="240"/>
      <c r="Z631" s="308"/>
      <c r="AA631" s="308"/>
      <c r="AB631" s="241"/>
      <c r="AC631" s="242"/>
      <c r="AD631" s="259"/>
      <c r="AE631" s="308"/>
      <c r="AF631" s="308"/>
      <c r="AG631" s="240"/>
      <c r="AH631" s="240"/>
      <c r="AI631" s="240"/>
      <c r="AJ631" s="240"/>
      <c r="AK631" s="308"/>
      <c r="AL631" s="244"/>
      <c r="AM631" s="236"/>
      <c r="AN631" s="378"/>
    </row>
    <row r="632" spans="1:40" s="506" customFormat="1" ht="19.5" customHeight="1">
      <c r="A632" s="216"/>
      <c r="B632" s="517" t="s">
        <v>456</v>
      </c>
      <c r="C632" s="518" t="s">
        <v>1267</v>
      </c>
      <c r="D632" s="518"/>
      <c r="E632" s="519"/>
      <c r="F632" s="520"/>
      <c r="G632" s="520"/>
      <c r="H632" s="521"/>
      <c r="I632" s="237">
        <f t="shared" si="287"/>
        <v>1384</v>
      </c>
      <c r="J632" s="522"/>
      <c r="K632" s="522"/>
      <c r="L632" s="522"/>
      <c r="M632" s="530">
        <v>1384</v>
      </c>
      <c r="N632" s="237">
        <f t="shared" si="288"/>
        <v>1384</v>
      </c>
      <c r="O632" s="522"/>
      <c r="P632" s="522"/>
      <c r="Q632" s="522"/>
      <c r="R632" s="522"/>
      <c r="S632" s="522"/>
      <c r="T632" s="237"/>
      <c r="U632" s="530">
        <v>1384</v>
      </c>
      <c r="V632" s="240"/>
      <c r="W632" s="240"/>
      <c r="X632" s="240"/>
      <c r="Y632" s="240"/>
      <c r="Z632" s="308"/>
      <c r="AA632" s="308"/>
      <c r="AB632" s="241"/>
      <c r="AC632" s="242"/>
      <c r="AD632" s="259"/>
      <c r="AE632" s="308"/>
      <c r="AF632" s="308"/>
      <c r="AG632" s="240"/>
      <c r="AH632" s="240"/>
      <c r="AI632" s="240"/>
      <c r="AJ632" s="240"/>
      <c r="AK632" s="308"/>
      <c r="AL632" s="244"/>
      <c r="AM632" s="236"/>
      <c r="AN632" s="378"/>
    </row>
    <row r="633" spans="1:40" s="506" customFormat="1" ht="19.5" customHeight="1">
      <c r="A633" s="216"/>
      <c r="B633" s="517" t="s">
        <v>457</v>
      </c>
      <c r="C633" s="518" t="s">
        <v>1267</v>
      </c>
      <c r="D633" s="518"/>
      <c r="E633" s="519"/>
      <c r="F633" s="520"/>
      <c r="G633" s="520"/>
      <c r="H633" s="521"/>
      <c r="I633" s="237">
        <f t="shared" si="287"/>
        <v>5331</v>
      </c>
      <c r="J633" s="522"/>
      <c r="K633" s="522"/>
      <c r="L633" s="522"/>
      <c r="M633" s="530">
        <v>5331</v>
      </c>
      <c r="N633" s="237">
        <f t="shared" si="288"/>
        <v>5331</v>
      </c>
      <c r="O633" s="522"/>
      <c r="P633" s="522"/>
      <c r="Q633" s="522"/>
      <c r="R633" s="522"/>
      <c r="S633" s="522"/>
      <c r="T633" s="237"/>
      <c r="U633" s="530">
        <v>5331</v>
      </c>
      <c r="V633" s="240"/>
      <c r="W633" s="240"/>
      <c r="X633" s="240"/>
      <c r="Y633" s="240"/>
      <c r="Z633" s="308"/>
      <c r="AA633" s="308"/>
      <c r="AB633" s="241"/>
      <c r="AC633" s="242"/>
      <c r="AD633" s="259"/>
      <c r="AE633" s="308"/>
      <c r="AF633" s="308"/>
      <c r="AG633" s="240"/>
      <c r="AH633" s="240"/>
      <c r="AI633" s="240"/>
      <c r="AJ633" s="240"/>
      <c r="AK633" s="308"/>
      <c r="AL633" s="244"/>
      <c r="AM633" s="236"/>
      <c r="AN633" s="378"/>
    </row>
    <row r="634" spans="1:40" s="506" customFormat="1" ht="19.5" customHeight="1">
      <c r="A634" s="216"/>
      <c r="B634" s="517" t="s">
        <v>458</v>
      </c>
      <c r="C634" s="518" t="s">
        <v>1267</v>
      </c>
      <c r="D634" s="518"/>
      <c r="E634" s="519"/>
      <c r="F634" s="520"/>
      <c r="G634" s="520"/>
      <c r="H634" s="521"/>
      <c r="I634" s="237">
        <f t="shared" si="287"/>
        <v>6072.85</v>
      </c>
      <c r="J634" s="522"/>
      <c r="K634" s="522"/>
      <c r="L634" s="522"/>
      <c r="M634" s="530">
        <v>6072.85</v>
      </c>
      <c r="N634" s="237">
        <f t="shared" si="288"/>
        <v>6072.85</v>
      </c>
      <c r="O634" s="522"/>
      <c r="P634" s="522"/>
      <c r="Q634" s="522"/>
      <c r="R634" s="522"/>
      <c r="S634" s="522"/>
      <c r="T634" s="237"/>
      <c r="U634" s="530">
        <v>6072.85</v>
      </c>
      <c r="V634" s="240"/>
      <c r="W634" s="240"/>
      <c r="X634" s="240"/>
      <c r="Y634" s="240"/>
      <c r="Z634" s="308"/>
      <c r="AA634" s="308"/>
      <c r="AB634" s="241"/>
      <c r="AC634" s="242"/>
      <c r="AD634" s="259"/>
      <c r="AE634" s="308"/>
      <c r="AF634" s="308"/>
      <c r="AG634" s="240"/>
      <c r="AH634" s="240"/>
      <c r="AI634" s="240"/>
      <c r="AJ634" s="240"/>
      <c r="AK634" s="308"/>
      <c r="AL634" s="244"/>
      <c r="AM634" s="236"/>
      <c r="AN634" s="378"/>
    </row>
    <row r="635" spans="1:40" s="506" customFormat="1" ht="19.5" customHeight="1">
      <c r="A635" s="216"/>
      <c r="B635" s="517" t="s">
        <v>459</v>
      </c>
      <c r="C635" s="518" t="s">
        <v>1267</v>
      </c>
      <c r="D635" s="518"/>
      <c r="E635" s="519"/>
      <c r="F635" s="520"/>
      <c r="G635" s="520"/>
      <c r="H635" s="521"/>
      <c r="I635" s="237">
        <f t="shared" si="287"/>
        <v>5108.67</v>
      </c>
      <c r="J635" s="522"/>
      <c r="K635" s="522"/>
      <c r="L635" s="522"/>
      <c r="M635" s="530">
        <v>5108.67</v>
      </c>
      <c r="N635" s="237">
        <f t="shared" si="288"/>
        <v>5108.67</v>
      </c>
      <c r="O635" s="531"/>
      <c r="P635" s="531"/>
      <c r="Q635" s="531"/>
      <c r="R635" s="531"/>
      <c r="S635" s="531"/>
      <c r="T635" s="282"/>
      <c r="U635" s="530">
        <v>5108.67</v>
      </c>
      <c r="V635" s="240"/>
      <c r="W635" s="240"/>
      <c r="X635" s="240"/>
      <c r="Y635" s="240"/>
      <c r="Z635" s="308"/>
      <c r="AA635" s="308"/>
      <c r="AB635" s="241"/>
      <c r="AC635" s="242"/>
      <c r="AD635" s="259"/>
      <c r="AE635" s="308"/>
      <c r="AF635" s="308"/>
      <c r="AG635" s="240"/>
      <c r="AH635" s="240"/>
      <c r="AI635" s="240"/>
      <c r="AJ635" s="240"/>
      <c r="AK635" s="308"/>
      <c r="AL635" s="244"/>
      <c r="AM635" s="236"/>
      <c r="AN635" s="378"/>
    </row>
    <row r="636" spans="1:40" s="506" customFormat="1" ht="19.5" customHeight="1">
      <c r="A636" s="216"/>
      <c r="B636" s="517" t="s">
        <v>460</v>
      </c>
      <c r="C636" s="518" t="s">
        <v>1267</v>
      </c>
      <c r="D636" s="518"/>
      <c r="E636" s="519"/>
      <c r="F636" s="520"/>
      <c r="G636" s="520"/>
      <c r="H636" s="521"/>
      <c r="I636" s="237">
        <f t="shared" si="287"/>
        <v>115.14</v>
      </c>
      <c r="J636" s="522"/>
      <c r="K636" s="522"/>
      <c r="L636" s="522"/>
      <c r="M636" s="530">
        <v>115.14</v>
      </c>
      <c r="N636" s="237">
        <f t="shared" si="288"/>
        <v>115.14</v>
      </c>
      <c r="O636" s="522"/>
      <c r="P636" s="522"/>
      <c r="Q636" s="522"/>
      <c r="R636" s="522"/>
      <c r="S636" s="522"/>
      <c r="T636" s="237"/>
      <c r="U636" s="530">
        <v>115.14</v>
      </c>
      <c r="V636" s="240"/>
      <c r="W636" s="240"/>
      <c r="X636" s="240"/>
      <c r="Y636" s="240"/>
      <c r="Z636" s="308"/>
      <c r="AA636" s="308"/>
      <c r="AB636" s="241"/>
      <c r="AC636" s="242"/>
      <c r="AD636" s="259"/>
      <c r="AE636" s="308"/>
      <c r="AF636" s="308"/>
      <c r="AG636" s="240"/>
      <c r="AH636" s="240"/>
      <c r="AI636" s="240"/>
      <c r="AJ636" s="240"/>
      <c r="AK636" s="308"/>
      <c r="AL636" s="244"/>
      <c r="AM636" s="236"/>
      <c r="AN636" s="378"/>
    </row>
    <row r="637" spans="1:40" s="506" customFormat="1" ht="19.5" customHeight="1">
      <c r="A637" s="216"/>
      <c r="B637" s="517" t="s">
        <v>452</v>
      </c>
      <c r="C637" s="518" t="s">
        <v>1267</v>
      </c>
      <c r="D637" s="518"/>
      <c r="E637" s="519"/>
      <c r="F637" s="520"/>
      <c r="G637" s="520"/>
      <c r="H637" s="521"/>
      <c r="I637" s="237">
        <f t="shared" si="287"/>
        <v>1106.53</v>
      </c>
      <c r="J637" s="522"/>
      <c r="K637" s="522"/>
      <c r="L637" s="522"/>
      <c r="M637" s="522">
        <v>1106.53</v>
      </c>
      <c r="N637" s="237">
        <f t="shared" si="288"/>
        <v>1106.53</v>
      </c>
      <c r="O637" s="522"/>
      <c r="P637" s="522"/>
      <c r="Q637" s="522"/>
      <c r="R637" s="522"/>
      <c r="S637" s="522"/>
      <c r="T637" s="237"/>
      <c r="U637" s="530">
        <v>1106.53</v>
      </c>
      <c r="V637" s="240"/>
      <c r="W637" s="240"/>
      <c r="X637" s="240"/>
      <c r="Y637" s="240"/>
      <c r="Z637" s="308"/>
      <c r="AA637" s="308"/>
      <c r="AB637" s="241"/>
      <c r="AC637" s="242"/>
      <c r="AD637" s="259"/>
      <c r="AE637" s="308"/>
      <c r="AF637" s="308"/>
      <c r="AG637" s="240"/>
      <c r="AH637" s="240"/>
      <c r="AI637" s="240"/>
      <c r="AJ637" s="240"/>
      <c r="AK637" s="308"/>
      <c r="AL637" s="244"/>
      <c r="AM637" s="236"/>
      <c r="AN637" s="378"/>
    </row>
    <row r="638" spans="1:40" s="506" customFormat="1" ht="19.5" customHeight="1">
      <c r="A638" s="216"/>
      <c r="B638" s="517" t="s">
        <v>1696</v>
      </c>
      <c r="C638" s="518" t="s">
        <v>1267</v>
      </c>
      <c r="D638" s="518"/>
      <c r="E638" s="519"/>
      <c r="F638" s="520"/>
      <c r="G638" s="520"/>
      <c r="H638" s="521"/>
      <c r="I638" s="237">
        <f t="shared" si="287"/>
        <v>2192.32</v>
      </c>
      <c r="J638" s="522"/>
      <c r="K638" s="522"/>
      <c r="L638" s="522"/>
      <c r="M638" s="522">
        <v>2192.32</v>
      </c>
      <c r="N638" s="237">
        <f t="shared" si="288"/>
        <v>2192.32</v>
      </c>
      <c r="O638" s="522"/>
      <c r="P638" s="522"/>
      <c r="Q638" s="522"/>
      <c r="R638" s="522"/>
      <c r="S638" s="522"/>
      <c r="T638" s="237"/>
      <c r="U638" s="530">
        <v>2192.32</v>
      </c>
      <c r="V638" s="240"/>
      <c r="W638" s="240"/>
      <c r="X638" s="240"/>
      <c r="Y638" s="240"/>
      <c r="Z638" s="308"/>
      <c r="AA638" s="308"/>
      <c r="AB638" s="241"/>
      <c r="AC638" s="242"/>
      <c r="AD638" s="259"/>
      <c r="AE638" s="308"/>
      <c r="AF638" s="308"/>
      <c r="AG638" s="240"/>
      <c r="AH638" s="240"/>
      <c r="AI638" s="240"/>
      <c r="AJ638" s="240"/>
      <c r="AK638" s="308"/>
      <c r="AL638" s="244"/>
      <c r="AM638" s="236"/>
      <c r="AN638" s="378"/>
    </row>
    <row r="639" spans="1:40" s="506" customFormat="1" ht="19.5" customHeight="1">
      <c r="A639" s="216"/>
      <c r="B639" s="517" t="s">
        <v>461</v>
      </c>
      <c r="C639" s="518" t="s">
        <v>1397</v>
      </c>
      <c r="D639" s="518"/>
      <c r="E639" s="519"/>
      <c r="F639" s="520"/>
      <c r="G639" s="520"/>
      <c r="H639" s="521"/>
      <c r="I639" s="237">
        <f t="shared" si="287"/>
        <v>7633.849999999999</v>
      </c>
      <c r="J639" s="522"/>
      <c r="K639" s="522"/>
      <c r="L639" s="522"/>
      <c r="M639" s="522">
        <f>2322.38+4446.2+436.91+225.4+179.54+23.42</f>
        <v>7633.849999999999</v>
      </c>
      <c r="N639" s="237">
        <f t="shared" si="288"/>
        <v>7633.849999999999</v>
      </c>
      <c r="O639" s="522"/>
      <c r="P639" s="522"/>
      <c r="Q639" s="522"/>
      <c r="R639" s="522"/>
      <c r="S639" s="522"/>
      <c r="T639" s="237"/>
      <c r="U639" s="530">
        <f>2322.38+4446.2+436.91+225.4+179.54+23.42</f>
        <v>7633.849999999999</v>
      </c>
      <c r="V639" s="240"/>
      <c r="W639" s="240"/>
      <c r="X639" s="240"/>
      <c r="Y639" s="240"/>
      <c r="Z639" s="308"/>
      <c r="AA639" s="308"/>
      <c r="AB639" s="241"/>
      <c r="AC639" s="242"/>
      <c r="AD639" s="259"/>
      <c r="AE639" s="308"/>
      <c r="AF639" s="308"/>
      <c r="AG639" s="240"/>
      <c r="AH639" s="240"/>
      <c r="AI639" s="240"/>
      <c r="AJ639" s="240"/>
      <c r="AK639" s="308"/>
      <c r="AL639" s="244"/>
      <c r="AM639" s="236"/>
      <c r="AN639" s="378"/>
    </row>
    <row r="640" spans="1:40" s="506" customFormat="1" ht="19.5" customHeight="1">
      <c r="A640" s="216"/>
      <c r="B640" s="517" t="s">
        <v>444</v>
      </c>
      <c r="C640" s="518" t="s">
        <v>1267</v>
      </c>
      <c r="D640" s="518"/>
      <c r="E640" s="519"/>
      <c r="F640" s="520"/>
      <c r="G640" s="520"/>
      <c r="H640" s="521"/>
      <c r="I640" s="237">
        <f t="shared" si="287"/>
        <v>1456.2800000000002</v>
      </c>
      <c r="J640" s="522"/>
      <c r="K640" s="522"/>
      <c r="L640" s="522"/>
      <c r="M640" s="522">
        <f>316.26+77.26+394.95+104.96+113.47+38.71+410.67</f>
        <v>1456.2800000000002</v>
      </c>
      <c r="N640" s="237">
        <f t="shared" si="288"/>
        <v>1456.2900000000002</v>
      </c>
      <c r="O640" s="522"/>
      <c r="P640" s="522"/>
      <c r="Q640" s="522"/>
      <c r="R640" s="522"/>
      <c r="S640" s="522"/>
      <c r="T640" s="237"/>
      <c r="U640" s="530">
        <f>316.26+77.26+394.95+104.96+113.47+38.71+410.68</f>
        <v>1456.2900000000002</v>
      </c>
      <c r="V640" s="240"/>
      <c r="W640" s="240"/>
      <c r="X640" s="240"/>
      <c r="Y640" s="240"/>
      <c r="Z640" s="308"/>
      <c r="AA640" s="308"/>
      <c r="AB640" s="241"/>
      <c r="AC640" s="242"/>
      <c r="AD640" s="259"/>
      <c r="AE640" s="308"/>
      <c r="AF640" s="308"/>
      <c r="AG640" s="240"/>
      <c r="AH640" s="240"/>
      <c r="AI640" s="240"/>
      <c r="AJ640" s="240"/>
      <c r="AK640" s="308"/>
      <c r="AL640" s="244"/>
      <c r="AM640" s="236"/>
      <c r="AN640" s="378"/>
    </row>
    <row r="641" spans="1:40" s="506" customFormat="1" ht="19.5" customHeight="1">
      <c r="A641" s="216"/>
      <c r="B641" s="517" t="s">
        <v>462</v>
      </c>
      <c r="C641" s="518" t="s">
        <v>1267</v>
      </c>
      <c r="D641" s="518"/>
      <c r="E641" s="519"/>
      <c r="F641" s="520"/>
      <c r="G641" s="520"/>
      <c r="H641" s="521"/>
      <c r="I641" s="237">
        <f t="shared" si="287"/>
        <v>963.35</v>
      </c>
      <c r="J641" s="522"/>
      <c r="K641" s="522"/>
      <c r="L641" s="522"/>
      <c r="M641" s="522">
        <v>963.35</v>
      </c>
      <c r="N641" s="237">
        <f t="shared" si="288"/>
        <v>963.35</v>
      </c>
      <c r="O641" s="522"/>
      <c r="P641" s="522"/>
      <c r="Q641" s="522"/>
      <c r="R641" s="522"/>
      <c r="S641" s="522"/>
      <c r="T641" s="237"/>
      <c r="U641" s="530">
        <v>963.35</v>
      </c>
      <c r="V641" s="240"/>
      <c r="W641" s="240"/>
      <c r="X641" s="240"/>
      <c r="Y641" s="240"/>
      <c r="Z641" s="308"/>
      <c r="AA641" s="308"/>
      <c r="AB641" s="241"/>
      <c r="AC641" s="242"/>
      <c r="AD641" s="259"/>
      <c r="AE641" s="308"/>
      <c r="AF641" s="308"/>
      <c r="AG641" s="240"/>
      <c r="AH641" s="240"/>
      <c r="AI641" s="240"/>
      <c r="AJ641" s="240"/>
      <c r="AK641" s="308"/>
      <c r="AL641" s="244"/>
      <c r="AM641" s="236"/>
      <c r="AN641" s="378"/>
    </row>
    <row r="642" spans="1:40" s="506" customFormat="1" ht="19.5" customHeight="1">
      <c r="A642" s="216"/>
      <c r="B642" s="517" t="s">
        <v>463</v>
      </c>
      <c r="C642" s="518" t="s">
        <v>1267</v>
      </c>
      <c r="D642" s="518"/>
      <c r="E642" s="519"/>
      <c r="F642" s="520"/>
      <c r="G642" s="520"/>
      <c r="H642" s="521"/>
      <c r="I642" s="237">
        <f t="shared" si="287"/>
        <v>635.78</v>
      </c>
      <c r="J642" s="522"/>
      <c r="K642" s="522"/>
      <c r="L642" s="522"/>
      <c r="M642" s="522">
        <v>635.78</v>
      </c>
      <c r="N642" s="237">
        <f t="shared" si="288"/>
        <v>635.78</v>
      </c>
      <c r="O642" s="522"/>
      <c r="P642" s="522"/>
      <c r="Q642" s="522"/>
      <c r="R642" s="522"/>
      <c r="S642" s="522"/>
      <c r="T642" s="237"/>
      <c r="U642" s="530">
        <v>635.78</v>
      </c>
      <c r="V642" s="240"/>
      <c r="W642" s="240"/>
      <c r="X642" s="240"/>
      <c r="Y642" s="240"/>
      <c r="Z642" s="308"/>
      <c r="AA642" s="308"/>
      <c r="AB642" s="241"/>
      <c r="AC642" s="242"/>
      <c r="AD642" s="259"/>
      <c r="AE642" s="308"/>
      <c r="AF642" s="308"/>
      <c r="AG642" s="240"/>
      <c r="AH642" s="240"/>
      <c r="AI642" s="240"/>
      <c r="AJ642" s="240"/>
      <c r="AK642" s="308"/>
      <c r="AL642" s="244"/>
      <c r="AM642" s="236"/>
      <c r="AN642" s="378"/>
    </row>
    <row r="643" spans="1:40" s="506" customFormat="1" ht="33" customHeight="1">
      <c r="A643" s="216"/>
      <c r="B643" s="517" t="s">
        <v>464</v>
      </c>
      <c r="C643" s="518" t="s">
        <v>1267</v>
      </c>
      <c r="D643" s="518"/>
      <c r="E643" s="519"/>
      <c r="F643" s="520"/>
      <c r="G643" s="520"/>
      <c r="H643" s="521"/>
      <c r="I643" s="237">
        <f t="shared" si="287"/>
        <v>4717.8</v>
      </c>
      <c r="J643" s="522"/>
      <c r="K643" s="522"/>
      <c r="L643" s="522"/>
      <c r="M643" s="522">
        <f>1231.57+3486.23</f>
        <v>4717.8</v>
      </c>
      <c r="N643" s="237">
        <f t="shared" si="288"/>
        <v>4717.8</v>
      </c>
      <c r="O643" s="522"/>
      <c r="P643" s="522"/>
      <c r="Q643" s="522"/>
      <c r="R643" s="522"/>
      <c r="S643" s="522"/>
      <c r="T643" s="237"/>
      <c r="U643" s="530">
        <f>1231.57+3486.23</f>
        <v>4717.8</v>
      </c>
      <c r="V643" s="240"/>
      <c r="W643" s="240"/>
      <c r="X643" s="240"/>
      <c r="Y643" s="240"/>
      <c r="Z643" s="308"/>
      <c r="AA643" s="308"/>
      <c r="AB643" s="241"/>
      <c r="AC643" s="242"/>
      <c r="AD643" s="259"/>
      <c r="AE643" s="308"/>
      <c r="AF643" s="308"/>
      <c r="AG643" s="240"/>
      <c r="AH643" s="240"/>
      <c r="AI643" s="240"/>
      <c r="AJ643" s="240"/>
      <c r="AK643" s="308"/>
      <c r="AL643" s="244"/>
      <c r="AM643" s="236"/>
      <c r="AN643" s="378"/>
    </row>
    <row r="644" spans="1:40" s="506" customFormat="1" ht="19.5" customHeight="1">
      <c r="A644" s="216"/>
      <c r="B644" s="517" t="s">
        <v>465</v>
      </c>
      <c r="C644" s="518" t="s">
        <v>1267</v>
      </c>
      <c r="D644" s="518"/>
      <c r="E644" s="519"/>
      <c r="F644" s="520"/>
      <c r="G644" s="520"/>
      <c r="H644" s="521"/>
      <c r="I644" s="237">
        <f t="shared" si="287"/>
        <v>1983.53</v>
      </c>
      <c r="J644" s="522"/>
      <c r="K644" s="522"/>
      <c r="L644" s="522"/>
      <c r="M644" s="522">
        <v>1983.53</v>
      </c>
      <c r="N644" s="237">
        <f t="shared" si="288"/>
        <v>1983.53</v>
      </c>
      <c r="O644" s="522"/>
      <c r="P644" s="522"/>
      <c r="Q644" s="522"/>
      <c r="R644" s="522"/>
      <c r="S644" s="522"/>
      <c r="T644" s="237"/>
      <c r="U644" s="530">
        <v>1983.53</v>
      </c>
      <c r="V644" s="240"/>
      <c r="W644" s="240"/>
      <c r="X644" s="240"/>
      <c r="Y644" s="240"/>
      <c r="Z644" s="308"/>
      <c r="AA644" s="308"/>
      <c r="AB644" s="241"/>
      <c r="AC644" s="242"/>
      <c r="AD644" s="259"/>
      <c r="AE644" s="308"/>
      <c r="AF644" s="308"/>
      <c r="AG644" s="240"/>
      <c r="AH644" s="240"/>
      <c r="AI644" s="240"/>
      <c r="AJ644" s="240"/>
      <c r="AK644" s="308"/>
      <c r="AL644" s="244"/>
      <c r="AM644" s="236"/>
      <c r="AN644" s="378"/>
    </row>
    <row r="645" spans="1:40" s="506" customFormat="1" ht="19.5" customHeight="1">
      <c r="A645" s="216"/>
      <c r="B645" s="517" t="s">
        <v>466</v>
      </c>
      <c r="C645" s="518" t="s">
        <v>1267</v>
      </c>
      <c r="D645" s="526"/>
      <c r="E645" s="527"/>
      <c r="F645" s="528"/>
      <c r="G645" s="528"/>
      <c r="H645" s="529"/>
      <c r="I645" s="237">
        <f t="shared" si="287"/>
        <v>1439.73</v>
      </c>
      <c r="J645" s="531"/>
      <c r="K645" s="531"/>
      <c r="L645" s="531"/>
      <c r="M645" s="522">
        <f>15.3+1424.43</f>
        <v>1439.73</v>
      </c>
      <c r="N645" s="237">
        <f t="shared" si="288"/>
        <v>1439.73</v>
      </c>
      <c r="O645" s="522"/>
      <c r="P645" s="522"/>
      <c r="Q645" s="522"/>
      <c r="R645" s="522"/>
      <c r="S645" s="522"/>
      <c r="T645" s="237"/>
      <c r="U645" s="532">
        <f>15.3+1424.43</f>
        <v>1439.73</v>
      </c>
      <c r="V645" s="240"/>
      <c r="W645" s="240"/>
      <c r="X645" s="240"/>
      <c r="Y645" s="240"/>
      <c r="Z645" s="308"/>
      <c r="AA645" s="308"/>
      <c r="AB645" s="241"/>
      <c r="AC645" s="242"/>
      <c r="AD645" s="259"/>
      <c r="AE645" s="308"/>
      <c r="AF645" s="308"/>
      <c r="AG645" s="240"/>
      <c r="AH645" s="240"/>
      <c r="AI645" s="240"/>
      <c r="AJ645" s="240"/>
      <c r="AK645" s="308"/>
      <c r="AL645" s="244"/>
      <c r="AM645" s="236"/>
      <c r="AN645" s="378"/>
    </row>
    <row r="646" spans="1:40" s="506" customFormat="1" ht="19.5" customHeight="1">
      <c r="A646" s="216"/>
      <c r="B646" s="517" t="s">
        <v>467</v>
      </c>
      <c r="C646" s="518" t="s">
        <v>1267</v>
      </c>
      <c r="D646" s="526"/>
      <c r="E646" s="527"/>
      <c r="F646" s="528"/>
      <c r="G646" s="528"/>
      <c r="H646" s="529"/>
      <c r="I646" s="237">
        <f t="shared" si="287"/>
        <v>2310.13</v>
      </c>
      <c r="J646" s="531"/>
      <c r="K646" s="531"/>
      <c r="L646" s="531"/>
      <c r="M646" s="522">
        <v>2310.13</v>
      </c>
      <c r="N646" s="237">
        <f t="shared" si="288"/>
        <v>2310.13</v>
      </c>
      <c r="O646" s="522"/>
      <c r="P646" s="522"/>
      <c r="Q646" s="522"/>
      <c r="R646" s="522"/>
      <c r="S646" s="522"/>
      <c r="T646" s="237"/>
      <c r="U646" s="530">
        <v>2310.13</v>
      </c>
      <c r="V646" s="240"/>
      <c r="W646" s="240"/>
      <c r="X646" s="240"/>
      <c r="Y646" s="240"/>
      <c r="Z646" s="308"/>
      <c r="AA646" s="308"/>
      <c r="AB646" s="241"/>
      <c r="AC646" s="242"/>
      <c r="AD646" s="259"/>
      <c r="AE646" s="308"/>
      <c r="AF646" s="308"/>
      <c r="AG646" s="240"/>
      <c r="AH646" s="240"/>
      <c r="AI646" s="240"/>
      <c r="AJ646" s="240"/>
      <c r="AK646" s="308"/>
      <c r="AL646" s="244"/>
      <c r="AM646" s="236"/>
      <c r="AN646" s="378"/>
    </row>
    <row r="647" spans="1:40" s="506" customFormat="1" ht="19.5" customHeight="1">
      <c r="A647" s="216">
        <v>31</v>
      </c>
      <c r="B647" s="217" t="s">
        <v>989</v>
      </c>
      <c r="C647" s="218"/>
      <c r="D647" s="456"/>
      <c r="E647" s="219"/>
      <c r="F647" s="221"/>
      <c r="G647" s="221"/>
      <c r="H647" s="221"/>
      <c r="I647" s="222">
        <f>SUM(I648:I653)</f>
        <v>36000</v>
      </c>
      <c r="J647" s="222">
        <f aca="true" t="shared" si="289" ref="J647:U647">SUM(J648:J653)</f>
        <v>0</v>
      </c>
      <c r="K647" s="222">
        <f t="shared" si="289"/>
        <v>36000</v>
      </c>
      <c r="L647" s="222">
        <f t="shared" si="289"/>
        <v>0</v>
      </c>
      <c r="M647" s="222">
        <f t="shared" si="289"/>
        <v>0</v>
      </c>
      <c r="N647" s="222">
        <f t="shared" si="289"/>
        <v>20044.788</v>
      </c>
      <c r="O647" s="222">
        <f t="shared" si="289"/>
        <v>0</v>
      </c>
      <c r="P647" s="222">
        <f t="shared" si="289"/>
        <v>20044.788</v>
      </c>
      <c r="Q647" s="222">
        <f t="shared" si="289"/>
        <v>20044.788</v>
      </c>
      <c r="R647" s="222">
        <f t="shared" si="289"/>
        <v>0</v>
      </c>
      <c r="S647" s="222">
        <f t="shared" si="289"/>
        <v>0</v>
      </c>
      <c r="T647" s="222">
        <f t="shared" si="289"/>
        <v>0</v>
      </c>
      <c r="U647" s="222">
        <f t="shared" si="289"/>
        <v>0</v>
      </c>
      <c r="V647" s="240"/>
      <c r="W647" s="240"/>
      <c r="X647" s="240"/>
      <c r="Y647" s="240"/>
      <c r="Z647" s="308"/>
      <c r="AA647" s="308"/>
      <c r="AB647" s="241"/>
      <c r="AC647" s="242"/>
      <c r="AD647" s="259"/>
      <c r="AE647" s="308"/>
      <c r="AF647" s="308"/>
      <c r="AG647" s="240"/>
      <c r="AH647" s="240"/>
      <c r="AI647" s="240"/>
      <c r="AJ647" s="240"/>
      <c r="AK647" s="308"/>
      <c r="AL647" s="244"/>
      <c r="AM647" s="236"/>
      <c r="AN647" s="378"/>
    </row>
    <row r="648" spans="1:40" s="506" customFormat="1" ht="19.5" customHeight="1">
      <c r="A648" s="263"/>
      <c r="B648" s="478" t="s">
        <v>371</v>
      </c>
      <c r="C648" s="502" t="s">
        <v>372</v>
      </c>
      <c r="D648" s="502" t="s">
        <v>1362</v>
      </c>
      <c r="E648" s="503"/>
      <c r="F648" s="504">
        <v>15090</v>
      </c>
      <c r="G648" s="504"/>
      <c r="H648" s="504">
        <v>2000</v>
      </c>
      <c r="I648" s="237">
        <v>6000</v>
      </c>
      <c r="J648" s="237"/>
      <c r="K648" s="237">
        <v>6000</v>
      </c>
      <c r="L648" s="237"/>
      <c r="M648" s="237"/>
      <c r="N648" s="239">
        <f aca="true" t="shared" si="290" ref="N648:N653">SUM(P648,U648)</f>
        <v>5775.788</v>
      </c>
      <c r="O648" s="239"/>
      <c r="P648" s="239">
        <f aca="true" t="shared" si="291" ref="P648:P653">SUM(Q648,R648:S648)</f>
        <v>5775.788</v>
      </c>
      <c r="Q648" s="505">
        <v>5775.788</v>
      </c>
      <c r="R648" s="307"/>
      <c r="S648" s="307"/>
      <c r="T648" s="307"/>
      <c r="U648" s="306"/>
      <c r="V648" s="240"/>
      <c r="W648" s="240"/>
      <c r="X648" s="240"/>
      <c r="Y648" s="240"/>
      <c r="Z648" s="308"/>
      <c r="AA648" s="308"/>
      <c r="AB648" s="241"/>
      <c r="AC648" s="242"/>
      <c r="AD648" s="259"/>
      <c r="AE648" s="308"/>
      <c r="AF648" s="308"/>
      <c r="AG648" s="240"/>
      <c r="AH648" s="240"/>
      <c r="AI648" s="240"/>
      <c r="AJ648" s="240"/>
      <c r="AK648" s="308"/>
      <c r="AL648" s="244"/>
      <c r="AM648" s="236"/>
      <c r="AN648" s="378"/>
    </row>
    <row r="649" spans="1:40" s="506" customFormat="1" ht="19.5" customHeight="1">
      <c r="A649" s="263"/>
      <c r="B649" s="478" t="s">
        <v>373</v>
      </c>
      <c r="C649" s="502" t="s">
        <v>374</v>
      </c>
      <c r="D649" s="502">
        <v>2015</v>
      </c>
      <c r="E649" s="503"/>
      <c r="F649" s="504">
        <v>59000</v>
      </c>
      <c r="G649" s="504"/>
      <c r="H649" s="504"/>
      <c r="I649" s="237">
        <v>12000</v>
      </c>
      <c r="J649" s="237"/>
      <c r="K649" s="237">
        <v>12000</v>
      </c>
      <c r="L649" s="237"/>
      <c r="M649" s="237"/>
      <c r="N649" s="239">
        <f t="shared" si="290"/>
        <v>12000</v>
      </c>
      <c r="O649" s="239"/>
      <c r="P649" s="239">
        <f t="shared" si="291"/>
        <v>12000</v>
      </c>
      <c r="Q649" s="505">
        <v>12000</v>
      </c>
      <c r="R649" s="307"/>
      <c r="S649" s="307"/>
      <c r="T649" s="307"/>
      <c r="U649" s="306"/>
      <c r="V649" s="240"/>
      <c r="W649" s="240"/>
      <c r="X649" s="240"/>
      <c r="Y649" s="240"/>
      <c r="Z649" s="308"/>
      <c r="AA649" s="308"/>
      <c r="AB649" s="241"/>
      <c r="AC649" s="242"/>
      <c r="AD649" s="259"/>
      <c r="AE649" s="308"/>
      <c r="AF649" s="308"/>
      <c r="AG649" s="240"/>
      <c r="AH649" s="240"/>
      <c r="AI649" s="240"/>
      <c r="AJ649" s="240"/>
      <c r="AK649" s="308"/>
      <c r="AL649" s="244"/>
      <c r="AM649" s="236"/>
      <c r="AN649" s="378"/>
    </row>
    <row r="650" spans="1:40" s="506" customFormat="1" ht="19.5" customHeight="1">
      <c r="A650" s="263"/>
      <c r="B650" s="478" t="s">
        <v>375</v>
      </c>
      <c r="C650" s="502" t="s">
        <v>1624</v>
      </c>
      <c r="D650" s="502"/>
      <c r="E650" s="503" t="s">
        <v>20</v>
      </c>
      <c r="F650" s="504">
        <v>5000</v>
      </c>
      <c r="G650" s="504">
        <v>193.4</v>
      </c>
      <c r="H650" s="504">
        <v>2000</v>
      </c>
      <c r="I650" s="237">
        <v>2000</v>
      </c>
      <c r="J650" s="237"/>
      <c r="K650" s="237">
        <v>2000</v>
      </c>
      <c r="L650" s="237"/>
      <c r="M650" s="237"/>
      <c r="N650" s="239">
        <f t="shared" si="290"/>
        <v>193.49</v>
      </c>
      <c r="O650" s="239"/>
      <c r="P650" s="239">
        <f t="shared" si="291"/>
        <v>193.49</v>
      </c>
      <c r="Q650" s="505">
        <v>193.49</v>
      </c>
      <c r="R650" s="307"/>
      <c r="S650" s="307"/>
      <c r="T650" s="307"/>
      <c r="U650" s="306"/>
      <c r="V650" s="240"/>
      <c r="W650" s="240"/>
      <c r="X650" s="240"/>
      <c r="Y650" s="240"/>
      <c r="Z650" s="308"/>
      <c r="AA650" s="308"/>
      <c r="AB650" s="241"/>
      <c r="AC650" s="242"/>
      <c r="AD650" s="259"/>
      <c r="AE650" s="308"/>
      <c r="AF650" s="308"/>
      <c r="AG650" s="240"/>
      <c r="AH650" s="240"/>
      <c r="AI650" s="240"/>
      <c r="AJ650" s="240"/>
      <c r="AK650" s="308"/>
      <c r="AL650" s="244"/>
      <c r="AM650" s="236"/>
      <c r="AN650" s="378"/>
    </row>
    <row r="651" spans="1:40" s="506" customFormat="1" ht="19.5" customHeight="1">
      <c r="A651" s="263"/>
      <c r="B651" s="478" t="s">
        <v>376</v>
      </c>
      <c r="C651" s="502" t="s">
        <v>1267</v>
      </c>
      <c r="D651" s="502"/>
      <c r="E651" s="503" t="s">
        <v>1682</v>
      </c>
      <c r="F651" s="504">
        <v>26000</v>
      </c>
      <c r="G651" s="504">
        <v>1362.9</v>
      </c>
      <c r="H651" s="504">
        <v>10200</v>
      </c>
      <c r="I651" s="237">
        <v>10200</v>
      </c>
      <c r="J651" s="237"/>
      <c r="K651" s="237">
        <v>10200</v>
      </c>
      <c r="L651" s="237"/>
      <c r="M651" s="237"/>
      <c r="N651" s="239">
        <f t="shared" si="290"/>
        <v>1363</v>
      </c>
      <c r="O651" s="239"/>
      <c r="P651" s="239">
        <f t="shared" si="291"/>
        <v>1363</v>
      </c>
      <c r="Q651" s="505">
        <v>1363</v>
      </c>
      <c r="R651" s="307"/>
      <c r="S651" s="307"/>
      <c r="T651" s="307"/>
      <c r="U651" s="306"/>
      <c r="V651" s="240"/>
      <c r="W651" s="240"/>
      <c r="X651" s="240"/>
      <c r="Y651" s="240"/>
      <c r="Z651" s="308"/>
      <c r="AA651" s="308"/>
      <c r="AB651" s="241"/>
      <c r="AC651" s="242"/>
      <c r="AD651" s="259"/>
      <c r="AE651" s="308"/>
      <c r="AF651" s="308"/>
      <c r="AG651" s="240"/>
      <c r="AH651" s="240"/>
      <c r="AI651" s="240"/>
      <c r="AJ651" s="240"/>
      <c r="AK651" s="308"/>
      <c r="AL651" s="244"/>
      <c r="AM651" s="236"/>
      <c r="AN651" s="378"/>
    </row>
    <row r="652" spans="1:40" s="506" customFormat="1" ht="19.5" customHeight="1">
      <c r="A652" s="263"/>
      <c r="B652" s="478" t="s">
        <v>377</v>
      </c>
      <c r="C652" s="502" t="s">
        <v>1267</v>
      </c>
      <c r="D652" s="502"/>
      <c r="E652" s="503" t="s">
        <v>20</v>
      </c>
      <c r="F652" s="504">
        <v>6500</v>
      </c>
      <c r="G652" s="504">
        <v>382.7</v>
      </c>
      <c r="H652" s="504">
        <v>2600</v>
      </c>
      <c r="I652" s="237">
        <v>2600</v>
      </c>
      <c r="J652" s="237"/>
      <c r="K652" s="237">
        <v>2600</v>
      </c>
      <c r="L652" s="237"/>
      <c r="M652" s="237"/>
      <c r="N652" s="239">
        <f t="shared" si="290"/>
        <v>382.71</v>
      </c>
      <c r="O652" s="239"/>
      <c r="P652" s="239">
        <f t="shared" si="291"/>
        <v>382.71</v>
      </c>
      <c r="Q652" s="505">
        <v>382.71</v>
      </c>
      <c r="R652" s="307"/>
      <c r="S652" s="307"/>
      <c r="T652" s="307"/>
      <c r="U652" s="306"/>
      <c r="V652" s="240"/>
      <c r="W652" s="240"/>
      <c r="X652" s="240"/>
      <c r="Y652" s="240"/>
      <c r="Z652" s="308"/>
      <c r="AA652" s="308"/>
      <c r="AB652" s="241"/>
      <c r="AC652" s="242"/>
      <c r="AD652" s="259"/>
      <c r="AE652" s="308"/>
      <c r="AF652" s="308"/>
      <c r="AG652" s="240"/>
      <c r="AH652" s="240"/>
      <c r="AI652" s="240"/>
      <c r="AJ652" s="240"/>
      <c r="AK652" s="308"/>
      <c r="AL652" s="244"/>
      <c r="AM652" s="236"/>
      <c r="AN652" s="378"/>
    </row>
    <row r="653" spans="1:40" s="506" customFormat="1" ht="19.5" customHeight="1">
      <c r="A653" s="263"/>
      <c r="B653" s="478" t="s">
        <v>378</v>
      </c>
      <c r="C653" s="502" t="s">
        <v>1267</v>
      </c>
      <c r="D653" s="502"/>
      <c r="E653" s="503" t="s">
        <v>20</v>
      </c>
      <c r="F653" s="504">
        <v>8000</v>
      </c>
      <c r="G653" s="504">
        <v>329.8</v>
      </c>
      <c r="H653" s="504">
        <v>3200</v>
      </c>
      <c r="I653" s="237">
        <v>3200</v>
      </c>
      <c r="J653" s="237"/>
      <c r="K653" s="237">
        <v>3200</v>
      </c>
      <c r="L653" s="237"/>
      <c r="M653" s="237"/>
      <c r="N653" s="239">
        <f t="shared" si="290"/>
        <v>329.8</v>
      </c>
      <c r="O653" s="239"/>
      <c r="P653" s="239">
        <f t="shared" si="291"/>
        <v>329.8</v>
      </c>
      <c r="Q653" s="505">
        <v>329.8</v>
      </c>
      <c r="R653" s="307"/>
      <c r="S653" s="307"/>
      <c r="T653" s="307"/>
      <c r="U653" s="306"/>
      <c r="V653" s="240"/>
      <c r="W653" s="240"/>
      <c r="X653" s="240"/>
      <c r="Y653" s="240"/>
      <c r="Z653" s="308"/>
      <c r="AA653" s="308"/>
      <c r="AB653" s="241"/>
      <c r="AC653" s="242"/>
      <c r="AD653" s="259"/>
      <c r="AE653" s="308"/>
      <c r="AF653" s="308"/>
      <c r="AG653" s="240"/>
      <c r="AH653" s="240"/>
      <c r="AI653" s="240"/>
      <c r="AJ653" s="240"/>
      <c r="AK653" s="308"/>
      <c r="AL653" s="244"/>
      <c r="AM653" s="236"/>
      <c r="AN653" s="378"/>
    </row>
    <row r="654" spans="1:40" s="542" customFormat="1" ht="19.5" customHeight="1">
      <c r="A654" s="533" t="s">
        <v>468</v>
      </c>
      <c r="B654" s="534" t="s">
        <v>469</v>
      </c>
      <c r="C654" s="535"/>
      <c r="D654" s="536"/>
      <c r="E654" s="537"/>
      <c r="F654" s="538"/>
      <c r="G654" s="538"/>
      <c r="H654" s="538"/>
      <c r="I654" s="539">
        <f aca="true" t="shared" si="292" ref="I654:U654">SUM(I655,I870,I877,I879,I890)</f>
        <v>286674.50660499994</v>
      </c>
      <c r="J654" s="539">
        <f t="shared" si="292"/>
        <v>27676.022</v>
      </c>
      <c r="K654" s="539">
        <f t="shared" si="292"/>
        <v>266319.772777</v>
      </c>
      <c r="L654" s="539">
        <f t="shared" si="292"/>
        <v>0</v>
      </c>
      <c r="M654" s="539">
        <f t="shared" si="292"/>
        <v>20354.738</v>
      </c>
      <c r="N654" s="539">
        <f t="shared" si="292"/>
        <v>276016.02479999996</v>
      </c>
      <c r="O654" s="539">
        <f t="shared" si="292"/>
        <v>27259.064</v>
      </c>
      <c r="P654" s="539">
        <f t="shared" si="292"/>
        <v>254707.09411199996</v>
      </c>
      <c r="Q654" s="539">
        <f t="shared" si="292"/>
        <v>239436.07180000003</v>
      </c>
      <c r="R654" s="539">
        <f t="shared" si="292"/>
        <v>10635.41</v>
      </c>
      <c r="S654" s="539">
        <f t="shared" si="292"/>
        <v>0</v>
      </c>
      <c r="T654" s="539">
        <f t="shared" si="292"/>
        <v>0</v>
      </c>
      <c r="U654" s="539">
        <f t="shared" si="292"/>
        <v>21308.931</v>
      </c>
      <c r="V654" s="540" t="e">
        <f>#REF!+#REF!+#REF!+#REF!+#REF!</f>
        <v>#REF!</v>
      </c>
      <c r="W654" s="540" t="e">
        <f>#REF!+#REF!+#REF!+#REF!+#REF!</f>
        <v>#REF!</v>
      </c>
      <c r="X654" s="540" t="e">
        <f>#REF!+#REF!+#REF!+#REF!+#REF!</f>
        <v>#REF!</v>
      </c>
      <c r="Y654" s="540" t="e">
        <f>#REF!+#REF!+#REF!+#REF!+#REF!</f>
        <v>#REF!</v>
      </c>
      <c r="Z654" s="540" t="e">
        <f>#REF!+#REF!+#REF!+#REF!+#REF!</f>
        <v>#REF!</v>
      </c>
      <c r="AA654" s="540" t="e">
        <f>#REF!+#REF!+#REF!+#REF!+#REF!</f>
        <v>#REF!</v>
      </c>
      <c r="AB654" s="540" t="e">
        <f>#REF!+#REF!+#REF!+#REF!+#REF!</f>
        <v>#REF!</v>
      </c>
      <c r="AC654" s="540" t="e">
        <f>#REF!+#REF!+#REF!+#REF!+#REF!</f>
        <v>#REF!</v>
      </c>
      <c r="AD654" s="540" t="e">
        <f>#REF!+#REF!+#REF!+#REF!+#REF!</f>
        <v>#REF!</v>
      </c>
      <c r="AE654" s="540" t="e">
        <f>#REF!+#REF!+#REF!+#REF!+#REF!</f>
        <v>#REF!</v>
      </c>
      <c r="AF654" s="540" t="e">
        <f>#REF!+#REF!+#REF!+#REF!+#REF!</f>
        <v>#REF!</v>
      </c>
      <c r="AG654" s="540" t="e">
        <f>#REF!+#REF!+#REF!+#REF!+#REF!</f>
        <v>#REF!</v>
      </c>
      <c r="AH654" s="540" t="e">
        <f>#REF!+#REF!+#REF!+#REF!+#REF!</f>
        <v>#REF!</v>
      </c>
      <c r="AI654" s="540" t="e">
        <f>#REF!+#REF!+#REF!+#REF!+#REF!</f>
        <v>#REF!</v>
      </c>
      <c r="AJ654" s="540" t="e">
        <f>#REF!+#REF!+#REF!+#REF!+#REF!</f>
        <v>#REF!</v>
      </c>
      <c r="AK654" s="540" t="e">
        <f>#REF!+#REF!+#REF!+#REF!+#REF!</f>
        <v>#REF!</v>
      </c>
      <c r="AL654" s="538"/>
      <c r="AM654" s="538" t="e">
        <f>#REF!+#REF!+#REF!+#REF!+#REF!</f>
        <v>#REF!</v>
      </c>
      <c r="AN654" s="541"/>
    </row>
    <row r="655" spans="1:41" s="542" customFormat="1" ht="19.5" customHeight="1">
      <c r="A655" s="533">
        <v>1</v>
      </c>
      <c r="B655" s="534" t="s">
        <v>470</v>
      </c>
      <c r="C655" s="535"/>
      <c r="D655" s="536"/>
      <c r="E655" s="537"/>
      <c r="F655" s="538"/>
      <c r="G655" s="538"/>
      <c r="H655" s="538"/>
      <c r="I655" s="539">
        <f>SUM(I656,I715)</f>
        <v>267006.15977699996</v>
      </c>
      <c r="J655" s="539">
        <f aca="true" t="shared" si="293" ref="J655:AO655">SUM(J656,J715)</f>
        <v>25981.341</v>
      </c>
      <c r="K655" s="539">
        <f t="shared" si="293"/>
        <v>246844.44377699998</v>
      </c>
      <c r="L655" s="539">
        <f t="shared" si="293"/>
        <v>0</v>
      </c>
      <c r="M655" s="539">
        <f t="shared" si="293"/>
        <v>20161.716</v>
      </c>
      <c r="N655" s="539">
        <f t="shared" si="293"/>
        <v>258277.52311199997</v>
      </c>
      <c r="O655" s="539">
        <f t="shared" si="293"/>
        <v>22801.584</v>
      </c>
      <c r="P655" s="539">
        <f t="shared" si="293"/>
        <v>238409.58411199995</v>
      </c>
      <c r="Q655" s="539">
        <f t="shared" si="293"/>
        <v>223563.364112</v>
      </c>
      <c r="R655" s="539">
        <f t="shared" si="293"/>
        <v>10247.75</v>
      </c>
      <c r="S655" s="539">
        <f t="shared" si="293"/>
        <v>0</v>
      </c>
      <c r="T655" s="539">
        <f t="shared" si="293"/>
        <v>0</v>
      </c>
      <c r="U655" s="539">
        <f t="shared" si="293"/>
        <v>19867.939</v>
      </c>
      <c r="V655" s="539">
        <f t="shared" si="293"/>
        <v>0</v>
      </c>
      <c r="W655" s="539">
        <f t="shared" si="293"/>
        <v>0</v>
      </c>
      <c r="X655" s="539">
        <f t="shared" si="293"/>
        <v>0</v>
      </c>
      <c r="Y655" s="539">
        <f t="shared" si="293"/>
        <v>0</v>
      </c>
      <c r="Z655" s="539">
        <f t="shared" si="293"/>
        <v>0</v>
      </c>
      <c r="AA655" s="539">
        <f t="shared" si="293"/>
        <v>0</v>
      </c>
      <c r="AB655" s="539">
        <f t="shared" si="293"/>
        <v>0</v>
      </c>
      <c r="AC655" s="539">
        <f t="shared" si="293"/>
        <v>0</v>
      </c>
      <c r="AD655" s="539">
        <f t="shared" si="293"/>
        <v>0</v>
      </c>
      <c r="AE655" s="539">
        <f t="shared" si="293"/>
        <v>0</v>
      </c>
      <c r="AF655" s="539">
        <f t="shared" si="293"/>
        <v>0</v>
      </c>
      <c r="AG655" s="539">
        <f t="shared" si="293"/>
        <v>0</v>
      </c>
      <c r="AH655" s="539">
        <f t="shared" si="293"/>
        <v>0</v>
      </c>
      <c r="AI655" s="539">
        <f t="shared" si="293"/>
        <v>0</v>
      </c>
      <c r="AJ655" s="539">
        <f t="shared" si="293"/>
        <v>0</v>
      </c>
      <c r="AK655" s="539">
        <f t="shared" si="293"/>
        <v>0</v>
      </c>
      <c r="AL655" s="539">
        <f t="shared" si="293"/>
        <v>0</v>
      </c>
      <c r="AM655" s="539">
        <f t="shared" si="293"/>
        <v>0</v>
      </c>
      <c r="AN655" s="539">
        <f t="shared" si="293"/>
        <v>0</v>
      </c>
      <c r="AO655" s="539">
        <f t="shared" si="293"/>
        <v>0</v>
      </c>
    </row>
    <row r="656" spans="1:40" s="542" customFormat="1" ht="19.5" customHeight="1">
      <c r="A656" s="533" t="s">
        <v>1251</v>
      </c>
      <c r="B656" s="534" t="s">
        <v>471</v>
      </c>
      <c r="C656" s="535"/>
      <c r="D656" s="536"/>
      <c r="E656" s="537"/>
      <c r="F656" s="538"/>
      <c r="G656" s="538"/>
      <c r="H656" s="538"/>
      <c r="I656" s="539">
        <f>SUM(I657:I677,I682:I714)</f>
        <v>129470.41399999999</v>
      </c>
      <c r="J656" s="539">
        <f>SUM(J657:J677,J682:J714)</f>
        <v>12192.928</v>
      </c>
      <c r="K656" s="539">
        <f>SUM(K657:K677,K682:K714)</f>
        <v>129470.41399999999</v>
      </c>
      <c r="L656" s="539">
        <f>SUM(L657:L677,L682:L714)</f>
        <v>0</v>
      </c>
      <c r="M656" s="539">
        <f>SUM(M657:M677,M682:M714)</f>
        <v>0</v>
      </c>
      <c r="N656" s="539">
        <f>SUM(N657:N678,N682:N714)</f>
        <v>125942.63899999997</v>
      </c>
      <c r="O656" s="539">
        <f aca="true" t="shared" si="294" ref="O656:T656">SUM(O657:O678,O682:O714)</f>
        <v>12078.728</v>
      </c>
      <c r="P656" s="539">
        <f t="shared" si="294"/>
        <v>125942.63899999997</v>
      </c>
      <c r="Q656" s="539">
        <f t="shared" si="294"/>
        <v>119344.169</v>
      </c>
      <c r="R656" s="539">
        <f t="shared" si="294"/>
        <v>2000</v>
      </c>
      <c r="S656" s="539">
        <f t="shared" si="294"/>
        <v>0</v>
      </c>
      <c r="T656" s="539">
        <f t="shared" si="294"/>
        <v>0</v>
      </c>
      <c r="U656" s="539">
        <f>SUM(U657:U677,U682:U712)</f>
        <v>0</v>
      </c>
      <c r="V656" s="540"/>
      <c r="W656" s="540"/>
      <c r="X656" s="540"/>
      <c r="Y656" s="540"/>
      <c r="Z656" s="540"/>
      <c r="AA656" s="540"/>
      <c r="AB656" s="540"/>
      <c r="AC656" s="540"/>
      <c r="AD656" s="540"/>
      <c r="AE656" s="540"/>
      <c r="AF656" s="540"/>
      <c r="AG656" s="540"/>
      <c r="AH656" s="540"/>
      <c r="AI656" s="540"/>
      <c r="AJ656" s="540"/>
      <c r="AK656" s="540"/>
      <c r="AL656" s="538"/>
      <c r="AM656" s="538"/>
      <c r="AN656" s="541"/>
    </row>
    <row r="657" spans="1:40" s="542" customFormat="1" ht="76.5">
      <c r="A657" s="263"/>
      <c r="B657" s="478" t="s">
        <v>472</v>
      </c>
      <c r="C657" s="502" t="s">
        <v>473</v>
      </c>
      <c r="D657" s="502" t="s">
        <v>474</v>
      </c>
      <c r="E657" s="503" t="s">
        <v>475</v>
      </c>
      <c r="F657" s="504">
        <v>5000</v>
      </c>
      <c r="G657" s="504">
        <v>4595.202</v>
      </c>
      <c r="H657" s="504">
        <v>3800</v>
      </c>
      <c r="I657" s="237">
        <v>907.857</v>
      </c>
      <c r="J657" s="237">
        <v>907.857</v>
      </c>
      <c r="K657" s="237">
        <v>907.857</v>
      </c>
      <c r="L657" s="237"/>
      <c r="M657" s="237"/>
      <c r="N657" s="239">
        <v>907.857</v>
      </c>
      <c r="O657" s="239">
        <v>907.857</v>
      </c>
      <c r="P657" s="239">
        <f>SUM(Q657:S657)</f>
        <v>907.857</v>
      </c>
      <c r="Q657" s="505">
        <v>907.857</v>
      </c>
      <c r="R657" s="307"/>
      <c r="S657" s="307"/>
      <c r="T657" s="307"/>
      <c r="U657" s="306"/>
      <c r="V657" s="540"/>
      <c r="W657" s="540"/>
      <c r="X657" s="540"/>
      <c r="Y657" s="540"/>
      <c r="Z657" s="540"/>
      <c r="AA657" s="540"/>
      <c r="AB657" s="540"/>
      <c r="AC657" s="540"/>
      <c r="AD657" s="540"/>
      <c r="AE657" s="540"/>
      <c r="AF657" s="540"/>
      <c r="AG657" s="540"/>
      <c r="AH657" s="540"/>
      <c r="AI657" s="540"/>
      <c r="AJ657" s="540"/>
      <c r="AK657" s="540"/>
      <c r="AL657" s="538"/>
      <c r="AM657" s="538"/>
      <c r="AN657" s="541"/>
    </row>
    <row r="658" spans="1:40" s="542" customFormat="1" ht="25.5">
      <c r="A658" s="263"/>
      <c r="B658" s="478" t="s">
        <v>476</v>
      </c>
      <c r="C658" s="502" t="s">
        <v>1267</v>
      </c>
      <c r="D658" s="502" t="s">
        <v>474</v>
      </c>
      <c r="E658" s="503" t="s">
        <v>477</v>
      </c>
      <c r="F658" s="504">
        <v>4534.301</v>
      </c>
      <c r="G658" s="504">
        <v>4390.291</v>
      </c>
      <c r="H658" s="504">
        <v>3400</v>
      </c>
      <c r="I658" s="237">
        <v>1263.924</v>
      </c>
      <c r="J658" s="237">
        <v>1263.924</v>
      </c>
      <c r="K658" s="237">
        <v>1263.924</v>
      </c>
      <c r="L658" s="237"/>
      <c r="M658" s="237"/>
      <c r="N658" s="239">
        <v>1263.924</v>
      </c>
      <c r="O658" s="239">
        <v>1263.924</v>
      </c>
      <c r="P658" s="239">
        <f aca="true" t="shared" si="295" ref="P658:P678">SUM(Q658:S658)</f>
        <v>1263.924</v>
      </c>
      <c r="Q658" s="505">
        <v>1263.924</v>
      </c>
      <c r="R658" s="307"/>
      <c r="S658" s="307"/>
      <c r="T658" s="307"/>
      <c r="U658" s="306"/>
      <c r="V658" s="540"/>
      <c r="W658" s="540"/>
      <c r="X658" s="540"/>
      <c r="Y658" s="540"/>
      <c r="Z658" s="540"/>
      <c r="AA658" s="540"/>
      <c r="AB658" s="540"/>
      <c r="AC658" s="540"/>
      <c r="AD658" s="540"/>
      <c r="AE658" s="540"/>
      <c r="AF658" s="540"/>
      <c r="AG658" s="540"/>
      <c r="AH658" s="540"/>
      <c r="AI658" s="540"/>
      <c r="AJ658" s="540"/>
      <c r="AK658" s="540"/>
      <c r="AL658" s="538"/>
      <c r="AM658" s="538"/>
      <c r="AN658" s="541"/>
    </row>
    <row r="659" spans="1:40" s="542" customFormat="1" ht="38.25">
      <c r="A659" s="263"/>
      <c r="B659" s="478" t="s">
        <v>478</v>
      </c>
      <c r="C659" s="502" t="s">
        <v>1267</v>
      </c>
      <c r="D659" s="502" t="s">
        <v>474</v>
      </c>
      <c r="E659" s="503" t="s">
        <v>479</v>
      </c>
      <c r="F659" s="504">
        <v>4217.8</v>
      </c>
      <c r="G659" s="504">
        <v>3550.255</v>
      </c>
      <c r="H659" s="504">
        <v>3200</v>
      </c>
      <c r="I659" s="237">
        <v>632.322</v>
      </c>
      <c r="J659" s="237">
        <v>632.322</v>
      </c>
      <c r="K659" s="237">
        <v>632.322</v>
      </c>
      <c r="L659" s="237"/>
      <c r="M659" s="237"/>
      <c r="N659" s="239">
        <v>632.322</v>
      </c>
      <c r="O659" s="239">
        <v>632.322</v>
      </c>
      <c r="P659" s="239">
        <f t="shared" si="295"/>
        <v>632.322</v>
      </c>
      <c r="Q659" s="505">
        <v>632.322</v>
      </c>
      <c r="R659" s="307"/>
      <c r="S659" s="307"/>
      <c r="T659" s="307"/>
      <c r="U659" s="306"/>
      <c r="V659" s="540"/>
      <c r="W659" s="540"/>
      <c r="X659" s="540"/>
      <c r="Y659" s="540"/>
      <c r="Z659" s="540"/>
      <c r="AA659" s="540"/>
      <c r="AB659" s="540"/>
      <c r="AC659" s="540"/>
      <c r="AD659" s="540"/>
      <c r="AE659" s="540"/>
      <c r="AF659" s="540"/>
      <c r="AG659" s="540"/>
      <c r="AH659" s="540"/>
      <c r="AI659" s="540"/>
      <c r="AJ659" s="540"/>
      <c r="AK659" s="540"/>
      <c r="AL659" s="538"/>
      <c r="AM659" s="538"/>
      <c r="AN659" s="541"/>
    </row>
    <row r="660" spans="1:40" s="542" customFormat="1" ht="18" customHeight="1">
      <c r="A660" s="263"/>
      <c r="B660" s="478" t="s">
        <v>480</v>
      </c>
      <c r="C660" s="502" t="s">
        <v>1267</v>
      </c>
      <c r="D660" s="502" t="s">
        <v>474</v>
      </c>
      <c r="E660" s="503" t="s">
        <v>481</v>
      </c>
      <c r="F660" s="504">
        <v>3361.428</v>
      </c>
      <c r="G660" s="504">
        <v>2910.165</v>
      </c>
      <c r="H660" s="504">
        <v>2530</v>
      </c>
      <c r="I660" s="237">
        <v>446.318</v>
      </c>
      <c r="J660" s="237">
        <v>446.318</v>
      </c>
      <c r="K660" s="237">
        <v>446.318</v>
      </c>
      <c r="L660" s="237"/>
      <c r="M660" s="237"/>
      <c r="N660" s="239">
        <v>446.31799999999976</v>
      </c>
      <c r="O660" s="239">
        <v>446.31799999999976</v>
      </c>
      <c r="P660" s="239">
        <f t="shared" si="295"/>
        <v>446.31799999999976</v>
      </c>
      <c r="Q660" s="505">
        <v>446.31799999999976</v>
      </c>
      <c r="R660" s="307"/>
      <c r="S660" s="307"/>
      <c r="T660" s="307"/>
      <c r="U660" s="306"/>
      <c r="V660" s="540"/>
      <c r="W660" s="540"/>
      <c r="X660" s="540"/>
      <c r="Y660" s="540"/>
      <c r="Z660" s="540"/>
      <c r="AA660" s="540"/>
      <c r="AB660" s="540"/>
      <c r="AC660" s="540"/>
      <c r="AD660" s="540"/>
      <c r="AE660" s="540"/>
      <c r="AF660" s="540"/>
      <c r="AG660" s="540"/>
      <c r="AH660" s="540"/>
      <c r="AI660" s="540"/>
      <c r="AJ660" s="540"/>
      <c r="AK660" s="540"/>
      <c r="AL660" s="538"/>
      <c r="AM660" s="538"/>
      <c r="AN660" s="541"/>
    </row>
    <row r="661" spans="1:40" s="542" customFormat="1" ht="19.5" customHeight="1">
      <c r="A661" s="263"/>
      <c r="B661" s="478" t="s">
        <v>482</v>
      </c>
      <c r="C661" s="502" t="s">
        <v>1267</v>
      </c>
      <c r="D661" s="502" t="s">
        <v>474</v>
      </c>
      <c r="E661" s="503" t="s">
        <v>483</v>
      </c>
      <c r="F661" s="504">
        <v>2848.238</v>
      </c>
      <c r="G661" s="504">
        <v>2543.054</v>
      </c>
      <c r="H661" s="504">
        <v>2200</v>
      </c>
      <c r="I661" s="237">
        <v>213.346</v>
      </c>
      <c r="J661" s="237">
        <v>213.346</v>
      </c>
      <c r="K661" s="237">
        <v>213.346</v>
      </c>
      <c r="L661" s="237"/>
      <c r="M661" s="237"/>
      <c r="N661" s="239">
        <v>213.346</v>
      </c>
      <c r="O661" s="239">
        <v>213.346</v>
      </c>
      <c r="P661" s="239">
        <f t="shared" si="295"/>
        <v>213.346</v>
      </c>
      <c r="Q661" s="505">
        <v>213.346</v>
      </c>
      <c r="R661" s="307"/>
      <c r="S661" s="307"/>
      <c r="T661" s="307"/>
      <c r="U661" s="306"/>
      <c r="V661" s="540"/>
      <c r="W661" s="540"/>
      <c r="X661" s="540"/>
      <c r="Y661" s="540"/>
      <c r="Z661" s="540"/>
      <c r="AA661" s="540"/>
      <c r="AB661" s="540"/>
      <c r="AC661" s="540"/>
      <c r="AD661" s="540"/>
      <c r="AE661" s="540"/>
      <c r="AF661" s="540"/>
      <c r="AG661" s="540"/>
      <c r="AH661" s="540"/>
      <c r="AI661" s="540"/>
      <c r="AJ661" s="540"/>
      <c r="AK661" s="540"/>
      <c r="AL661" s="538"/>
      <c r="AM661" s="538"/>
      <c r="AN661" s="541"/>
    </row>
    <row r="662" spans="1:40" s="542" customFormat="1" ht="19.5" customHeight="1">
      <c r="A662" s="263"/>
      <c r="B662" s="478" t="s">
        <v>484</v>
      </c>
      <c r="C662" s="502" t="s">
        <v>1267</v>
      </c>
      <c r="D662" s="502" t="s">
        <v>474</v>
      </c>
      <c r="E662" s="503" t="s">
        <v>485</v>
      </c>
      <c r="F662" s="504">
        <v>2700</v>
      </c>
      <c r="G662" s="504">
        <v>2343.368</v>
      </c>
      <c r="H662" s="504">
        <v>2050</v>
      </c>
      <c r="I662" s="237">
        <v>267.126</v>
      </c>
      <c r="J662" s="237">
        <v>267.126</v>
      </c>
      <c r="K662" s="237">
        <v>267.126</v>
      </c>
      <c r="L662" s="237"/>
      <c r="M662" s="237"/>
      <c r="N662" s="239">
        <v>267.126</v>
      </c>
      <c r="O662" s="239">
        <v>267.126</v>
      </c>
      <c r="P662" s="239">
        <f t="shared" si="295"/>
        <v>267.126</v>
      </c>
      <c r="Q662" s="505">
        <v>267.126</v>
      </c>
      <c r="R662" s="307"/>
      <c r="S662" s="307"/>
      <c r="T662" s="307"/>
      <c r="U662" s="306"/>
      <c r="V662" s="540"/>
      <c r="W662" s="540"/>
      <c r="X662" s="540"/>
      <c r="Y662" s="540"/>
      <c r="Z662" s="540"/>
      <c r="AA662" s="540"/>
      <c r="AB662" s="540"/>
      <c r="AC662" s="540"/>
      <c r="AD662" s="540"/>
      <c r="AE662" s="540"/>
      <c r="AF662" s="540"/>
      <c r="AG662" s="540"/>
      <c r="AH662" s="540"/>
      <c r="AI662" s="540"/>
      <c r="AJ662" s="540"/>
      <c r="AK662" s="540"/>
      <c r="AL662" s="538"/>
      <c r="AM662" s="538"/>
      <c r="AN662" s="541"/>
    </row>
    <row r="663" spans="1:40" s="542" customFormat="1" ht="29.25" customHeight="1">
      <c r="A663" s="263"/>
      <c r="B663" s="478" t="s">
        <v>486</v>
      </c>
      <c r="C663" s="502" t="s">
        <v>1267</v>
      </c>
      <c r="D663" s="502" t="s">
        <v>487</v>
      </c>
      <c r="E663" s="503" t="s">
        <v>488</v>
      </c>
      <c r="F663" s="504">
        <v>2600</v>
      </c>
      <c r="G663" s="504">
        <v>2299.509</v>
      </c>
      <c r="H663" s="504">
        <v>2100</v>
      </c>
      <c r="I663" s="237">
        <v>310.297</v>
      </c>
      <c r="J663" s="237">
        <v>310.297</v>
      </c>
      <c r="K663" s="237">
        <v>310.297</v>
      </c>
      <c r="L663" s="237"/>
      <c r="M663" s="237"/>
      <c r="N663" s="239">
        <v>310.297</v>
      </c>
      <c r="O663" s="239">
        <v>310.297</v>
      </c>
      <c r="P663" s="239">
        <f t="shared" si="295"/>
        <v>310.297</v>
      </c>
      <c r="Q663" s="505">
        <v>310.297</v>
      </c>
      <c r="R663" s="307"/>
      <c r="S663" s="307"/>
      <c r="T663" s="307"/>
      <c r="U663" s="306"/>
      <c r="V663" s="540"/>
      <c r="W663" s="540"/>
      <c r="X663" s="540"/>
      <c r="Y663" s="540"/>
      <c r="Z663" s="540"/>
      <c r="AA663" s="540"/>
      <c r="AB663" s="540"/>
      <c r="AC663" s="540"/>
      <c r="AD663" s="540"/>
      <c r="AE663" s="540"/>
      <c r="AF663" s="540"/>
      <c r="AG663" s="540"/>
      <c r="AH663" s="540"/>
      <c r="AI663" s="540"/>
      <c r="AJ663" s="540"/>
      <c r="AK663" s="540"/>
      <c r="AL663" s="538"/>
      <c r="AM663" s="538"/>
      <c r="AN663" s="541"/>
    </row>
    <row r="664" spans="1:40" s="542" customFormat="1" ht="19.5" customHeight="1">
      <c r="A664" s="263"/>
      <c r="B664" s="478" t="s">
        <v>489</v>
      </c>
      <c r="C664" s="502" t="s">
        <v>1267</v>
      </c>
      <c r="D664" s="502" t="s">
        <v>487</v>
      </c>
      <c r="E664" s="503" t="s">
        <v>490</v>
      </c>
      <c r="F664" s="504">
        <v>3300</v>
      </c>
      <c r="G664" s="504">
        <v>2818.699</v>
      </c>
      <c r="H664" s="504">
        <v>2600</v>
      </c>
      <c r="I664" s="237">
        <v>500</v>
      </c>
      <c r="J664" s="237">
        <v>500</v>
      </c>
      <c r="K664" s="237">
        <v>500</v>
      </c>
      <c r="L664" s="237"/>
      <c r="M664" s="237"/>
      <c r="N664" s="239">
        <v>500</v>
      </c>
      <c r="O664" s="239">
        <v>500</v>
      </c>
      <c r="P664" s="239">
        <f t="shared" si="295"/>
        <v>500</v>
      </c>
      <c r="Q664" s="505">
        <v>500</v>
      </c>
      <c r="R664" s="307"/>
      <c r="S664" s="307"/>
      <c r="T664" s="307"/>
      <c r="U664" s="306"/>
      <c r="V664" s="540"/>
      <c r="W664" s="540"/>
      <c r="X664" s="540"/>
      <c r="Y664" s="540"/>
      <c r="Z664" s="540"/>
      <c r="AA664" s="540"/>
      <c r="AB664" s="540"/>
      <c r="AC664" s="540"/>
      <c r="AD664" s="540"/>
      <c r="AE664" s="540"/>
      <c r="AF664" s="540"/>
      <c r="AG664" s="540"/>
      <c r="AH664" s="540"/>
      <c r="AI664" s="540"/>
      <c r="AJ664" s="540"/>
      <c r="AK664" s="540"/>
      <c r="AL664" s="538"/>
      <c r="AM664" s="538"/>
      <c r="AN664" s="541"/>
    </row>
    <row r="665" spans="1:40" s="542" customFormat="1" ht="24.75" customHeight="1">
      <c r="A665" s="263"/>
      <c r="B665" s="478" t="s">
        <v>491</v>
      </c>
      <c r="C665" s="502" t="s">
        <v>1267</v>
      </c>
      <c r="D665" s="502" t="s">
        <v>474</v>
      </c>
      <c r="E665" s="503" t="s">
        <v>492</v>
      </c>
      <c r="F665" s="504">
        <v>3266.953</v>
      </c>
      <c r="G665" s="504">
        <v>3115.186</v>
      </c>
      <c r="H665" s="504">
        <v>3100</v>
      </c>
      <c r="I665" s="237">
        <v>1115.318</v>
      </c>
      <c r="J665" s="237">
        <v>1115.318</v>
      </c>
      <c r="K665" s="237">
        <v>1115.318</v>
      </c>
      <c r="L665" s="237"/>
      <c r="M665" s="237"/>
      <c r="N665" s="239">
        <v>1115.318</v>
      </c>
      <c r="O665" s="239">
        <v>1115.318</v>
      </c>
      <c r="P665" s="239">
        <f t="shared" si="295"/>
        <v>1115.318</v>
      </c>
      <c r="Q665" s="505">
        <v>1115.318</v>
      </c>
      <c r="R665" s="307"/>
      <c r="S665" s="307"/>
      <c r="T665" s="307"/>
      <c r="U665" s="306"/>
      <c r="V665" s="540"/>
      <c r="W665" s="540"/>
      <c r="X665" s="540"/>
      <c r="Y665" s="540"/>
      <c r="Z665" s="540"/>
      <c r="AA665" s="540"/>
      <c r="AB665" s="540"/>
      <c r="AC665" s="540"/>
      <c r="AD665" s="540"/>
      <c r="AE665" s="540"/>
      <c r="AF665" s="540"/>
      <c r="AG665" s="540"/>
      <c r="AH665" s="540"/>
      <c r="AI665" s="540"/>
      <c r="AJ665" s="540"/>
      <c r="AK665" s="540"/>
      <c r="AL665" s="538"/>
      <c r="AM665" s="538"/>
      <c r="AN665" s="541"/>
    </row>
    <row r="666" spans="1:40" s="542" customFormat="1" ht="24.75" customHeight="1">
      <c r="A666" s="263"/>
      <c r="B666" s="478" t="s">
        <v>493</v>
      </c>
      <c r="C666" s="502" t="s">
        <v>1267</v>
      </c>
      <c r="D666" s="502" t="s">
        <v>487</v>
      </c>
      <c r="E666" s="503" t="s">
        <v>494</v>
      </c>
      <c r="F666" s="504">
        <v>2300</v>
      </c>
      <c r="G666" s="504">
        <v>1891.924</v>
      </c>
      <c r="H666" s="504">
        <v>1800</v>
      </c>
      <c r="I666" s="237">
        <v>300</v>
      </c>
      <c r="J666" s="237">
        <v>300</v>
      </c>
      <c r="K666" s="237">
        <v>300</v>
      </c>
      <c r="L666" s="237"/>
      <c r="M666" s="237"/>
      <c r="N666" s="239">
        <v>300</v>
      </c>
      <c r="O666" s="239">
        <v>300</v>
      </c>
      <c r="P666" s="239">
        <f t="shared" si="295"/>
        <v>300</v>
      </c>
      <c r="Q666" s="505">
        <v>300</v>
      </c>
      <c r="R666" s="307"/>
      <c r="S666" s="307"/>
      <c r="T666" s="307"/>
      <c r="U666" s="306"/>
      <c r="V666" s="540"/>
      <c r="W666" s="540"/>
      <c r="X666" s="540"/>
      <c r="Y666" s="540"/>
      <c r="Z666" s="540"/>
      <c r="AA666" s="540"/>
      <c r="AB666" s="540"/>
      <c r="AC666" s="540"/>
      <c r="AD666" s="540"/>
      <c r="AE666" s="540"/>
      <c r="AF666" s="540"/>
      <c r="AG666" s="540"/>
      <c r="AH666" s="540"/>
      <c r="AI666" s="540"/>
      <c r="AJ666" s="540"/>
      <c r="AK666" s="540"/>
      <c r="AL666" s="538"/>
      <c r="AM666" s="538"/>
      <c r="AN666" s="541"/>
    </row>
    <row r="667" spans="1:40" s="542" customFormat="1" ht="25.5">
      <c r="A667" s="263"/>
      <c r="B667" s="478" t="s">
        <v>495</v>
      </c>
      <c r="C667" s="502" t="s">
        <v>1267</v>
      </c>
      <c r="D667" s="502" t="s">
        <v>474</v>
      </c>
      <c r="E667" s="503" t="s">
        <v>496</v>
      </c>
      <c r="F667" s="504">
        <v>2535</v>
      </c>
      <c r="G667" s="504">
        <v>2173.159</v>
      </c>
      <c r="H667" s="504">
        <v>2000</v>
      </c>
      <c r="I667" s="237">
        <v>221</v>
      </c>
      <c r="J667" s="237">
        <v>221</v>
      </c>
      <c r="K667" s="237">
        <v>221</v>
      </c>
      <c r="L667" s="237"/>
      <c r="M667" s="237"/>
      <c r="N667" s="239">
        <v>221</v>
      </c>
      <c r="O667" s="239">
        <v>221</v>
      </c>
      <c r="P667" s="239">
        <f t="shared" si="295"/>
        <v>221</v>
      </c>
      <c r="Q667" s="505">
        <v>221</v>
      </c>
      <c r="R667" s="307"/>
      <c r="S667" s="307"/>
      <c r="T667" s="307"/>
      <c r="U667" s="306"/>
      <c r="V667" s="540"/>
      <c r="W667" s="540"/>
      <c r="X667" s="540"/>
      <c r="Y667" s="540"/>
      <c r="Z667" s="540"/>
      <c r="AA667" s="540"/>
      <c r="AB667" s="540"/>
      <c r="AC667" s="540"/>
      <c r="AD667" s="540"/>
      <c r="AE667" s="540"/>
      <c r="AF667" s="540"/>
      <c r="AG667" s="540"/>
      <c r="AH667" s="540"/>
      <c r="AI667" s="540"/>
      <c r="AJ667" s="540"/>
      <c r="AK667" s="540"/>
      <c r="AL667" s="538"/>
      <c r="AM667" s="538"/>
      <c r="AN667" s="541"/>
    </row>
    <row r="668" spans="1:40" s="542" customFormat="1" ht="18.75" customHeight="1">
      <c r="A668" s="263"/>
      <c r="B668" s="478" t="s">
        <v>497</v>
      </c>
      <c r="C668" s="502" t="s">
        <v>1267</v>
      </c>
      <c r="D668" s="502" t="s">
        <v>474</v>
      </c>
      <c r="E668" s="503" t="s">
        <v>498</v>
      </c>
      <c r="F668" s="504">
        <v>1867.661</v>
      </c>
      <c r="G668" s="504">
        <v>1516.077</v>
      </c>
      <c r="H668" s="504">
        <v>1500</v>
      </c>
      <c r="I668" s="237">
        <v>1333.43</v>
      </c>
      <c r="J668" s="237">
        <v>1333.43</v>
      </c>
      <c r="K668" s="237">
        <v>1333.43</v>
      </c>
      <c r="L668" s="237"/>
      <c r="M668" s="237"/>
      <c r="N668" s="239">
        <v>1333.43</v>
      </c>
      <c r="O668" s="239">
        <v>1333.43</v>
      </c>
      <c r="P668" s="239">
        <f t="shared" si="295"/>
        <v>1333.43</v>
      </c>
      <c r="Q668" s="505">
        <v>1333.43</v>
      </c>
      <c r="R668" s="307"/>
      <c r="S668" s="307"/>
      <c r="T668" s="307"/>
      <c r="U668" s="306"/>
      <c r="V668" s="540"/>
      <c r="W668" s="540"/>
      <c r="X668" s="540"/>
      <c r="Y668" s="540"/>
      <c r="Z668" s="540"/>
      <c r="AA668" s="540"/>
      <c r="AB668" s="540"/>
      <c r="AC668" s="540"/>
      <c r="AD668" s="540"/>
      <c r="AE668" s="540"/>
      <c r="AF668" s="540"/>
      <c r="AG668" s="540"/>
      <c r="AH668" s="540"/>
      <c r="AI668" s="540"/>
      <c r="AJ668" s="540"/>
      <c r="AK668" s="540"/>
      <c r="AL668" s="538"/>
      <c r="AM668" s="538"/>
      <c r="AN668" s="541"/>
    </row>
    <row r="669" spans="1:40" s="542" customFormat="1" ht="21" customHeight="1">
      <c r="A669" s="263"/>
      <c r="B669" s="478" t="s">
        <v>499</v>
      </c>
      <c r="C669" s="502" t="s">
        <v>1267</v>
      </c>
      <c r="D669" s="502" t="s">
        <v>474</v>
      </c>
      <c r="E669" s="503" t="s">
        <v>500</v>
      </c>
      <c r="F669" s="504">
        <v>1511</v>
      </c>
      <c r="G669" s="504">
        <v>1306.238</v>
      </c>
      <c r="H669" s="504">
        <v>1200</v>
      </c>
      <c r="I669" s="237">
        <v>225.967</v>
      </c>
      <c r="J669" s="237">
        <v>225.967</v>
      </c>
      <c r="K669" s="237">
        <v>225.967</v>
      </c>
      <c r="L669" s="237"/>
      <c r="M669" s="237"/>
      <c r="N669" s="239">
        <v>225.96699999999987</v>
      </c>
      <c r="O669" s="239">
        <v>225.96699999999987</v>
      </c>
      <c r="P669" s="239">
        <f t="shared" si="295"/>
        <v>225.96699999999987</v>
      </c>
      <c r="Q669" s="505">
        <v>225.96699999999987</v>
      </c>
      <c r="R669" s="307"/>
      <c r="S669" s="307"/>
      <c r="T669" s="307"/>
      <c r="U669" s="306"/>
      <c r="V669" s="540"/>
      <c r="W669" s="540"/>
      <c r="X669" s="540"/>
      <c r="Y669" s="540"/>
      <c r="Z669" s="540"/>
      <c r="AA669" s="540"/>
      <c r="AB669" s="540"/>
      <c r="AC669" s="540"/>
      <c r="AD669" s="540"/>
      <c r="AE669" s="540"/>
      <c r="AF669" s="540"/>
      <c r="AG669" s="540"/>
      <c r="AH669" s="540"/>
      <c r="AI669" s="540"/>
      <c r="AJ669" s="540"/>
      <c r="AK669" s="540"/>
      <c r="AL669" s="538"/>
      <c r="AM669" s="538"/>
      <c r="AN669" s="541"/>
    </row>
    <row r="670" spans="1:40" s="542" customFormat="1" ht="25.5">
      <c r="A670" s="263"/>
      <c r="B670" s="478" t="s">
        <v>501</v>
      </c>
      <c r="C670" s="502" t="s">
        <v>1267</v>
      </c>
      <c r="D670" s="502" t="s">
        <v>327</v>
      </c>
      <c r="E670" s="503" t="s">
        <v>502</v>
      </c>
      <c r="F670" s="504">
        <v>2300</v>
      </c>
      <c r="G670" s="504">
        <v>935.675</v>
      </c>
      <c r="H670" s="504">
        <v>1074.994</v>
      </c>
      <c r="I670" s="237">
        <v>175</v>
      </c>
      <c r="J670" s="237">
        <v>174.994</v>
      </c>
      <c r="K670" s="237">
        <v>175</v>
      </c>
      <c r="L670" s="237"/>
      <c r="M670" s="237"/>
      <c r="N670" s="239">
        <v>174.994</v>
      </c>
      <c r="O670" s="239">
        <v>174.994</v>
      </c>
      <c r="P670" s="239">
        <f t="shared" si="295"/>
        <v>174.994</v>
      </c>
      <c r="Q670" s="505">
        <v>174.994</v>
      </c>
      <c r="R670" s="307"/>
      <c r="S670" s="307"/>
      <c r="T670" s="307"/>
      <c r="U670" s="306"/>
      <c r="V670" s="540"/>
      <c r="W670" s="540"/>
      <c r="X670" s="540"/>
      <c r="Y670" s="540"/>
      <c r="Z670" s="540"/>
      <c r="AA670" s="540"/>
      <c r="AB670" s="540"/>
      <c r="AC670" s="540"/>
      <c r="AD670" s="540"/>
      <c r="AE670" s="540"/>
      <c r="AF670" s="540"/>
      <c r="AG670" s="540"/>
      <c r="AH670" s="540"/>
      <c r="AI670" s="540"/>
      <c r="AJ670" s="540"/>
      <c r="AK670" s="540"/>
      <c r="AL670" s="538"/>
      <c r="AM670" s="538"/>
      <c r="AN670" s="541"/>
    </row>
    <row r="671" spans="1:40" s="542" customFormat="1" ht="22.5" customHeight="1">
      <c r="A671" s="263"/>
      <c r="B671" s="478" t="s">
        <v>503</v>
      </c>
      <c r="C671" s="502" t="s">
        <v>1267</v>
      </c>
      <c r="D671" s="502" t="s">
        <v>327</v>
      </c>
      <c r="E671" s="503"/>
      <c r="F671" s="504">
        <v>0</v>
      </c>
      <c r="G671" s="504">
        <v>0</v>
      </c>
      <c r="H671" s="504">
        <v>1064.009</v>
      </c>
      <c r="I671" s="237">
        <v>167.82</v>
      </c>
      <c r="J671" s="237">
        <v>164.009</v>
      </c>
      <c r="K671" s="237">
        <v>167.82</v>
      </c>
      <c r="L671" s="237"/>
      <c r="M671" s="237"/>
      <c r="N671" s="239">
        <v>166.829</v>
      </c>
      <c r="O671" s="239">
        <v>166.829</v>
      </c>
      <c r="P671" s="239">
        <f t="shared" si="295"/>
        <v>166.829</v>
      </c>
      <c r="Q671" s="505">
        <v>166.829</v>
      </c>
      <c r="R671" s="307"/>
      <c r="S671" s="307"/>
      <c r="T671" s="307"/>
      <c r="U671" s="306"/>
      <c r="V671" s="540"/>
      <c r="W671" s="540"/>
      <c r="X671" s="540"/>
      <c r="Y671" s="540"/>
      <c r="Z671" s="540"/>
      <c r="AA671" s="540"/>
      <c r="AB671" s="540"/>
      <c r="AC671" s="540"/>
      <c r="AD671" s="540"/>
      <c r="AE671" s="540"/>
      <c r="AF671" s="540"/>
      <c r="AG671" s="540"/>
      <c r="AH671" s="540"/>
      <c r="AI671" s="540"/>
      <c r="AJ671" s="540"/>
      <c r="AK671" s="540"/>
      <c r="AL671" s="538"/>
      <c r="AM671" s="538"/>
      <c r="AN671" s="541"/>
    </row>
    <row r="672" spans="1:40" s="542" customFormat="1" ht="25.5">
      <c r="A672" s="263"/>
      <c r="B672" s="478" t="s">
        <v>504</v>
      </c>
      <c r="C672" s="502" t="s">
        <v>1267</v>
      </c>
      <c r="D672" s="502" t="s">
        <v>505</v>
      </c>
      <c r="E672" s="503" t="s">
        <v>506</v>
      </c>
      <c r="F672" s="504">
        <v>14365</v>
      </c>
      <c r="G672" s="504">
        <v>2008.138</v>
      </c>
      <c r="H672" s="504">
        <v>3039.786</v>
      </c>
      <c r="I672" s="237">
        <v>5100</v>
      </c>
      <c r="J672" s="237"/>
      <c r="K672" s="237">
        <v>5100</v>
      </c>
      <c r="L672" s="237"/>
      <c r="M672" s="237"/>
      <c r="N672" s="239">
        <v>2609.786</v>
      </c>
      <c r="O672" s="239"/>
      <c r="P672" s="239">
        <f t="shared" si="295"/>
        <v>2609.786</v>
      </c>
      <c r="Q672" s="505">
        <v>2609.786</v>
      </c>
      <c r="R672" s="307"/>
      <c r="S672" s="307"/>
      <c r="T672" s="307"/>
      <c r="U672" s="306"/>
      <c r="V672" s="540"/>
      <c r="W672" s="540"/>
      <c r="X672" s="540"/>
      <c r="Y672" s="540"/>
      <c r="Z672" s="540"/>
      <c r="AA672" s="540"/>
      <c r="AB672" s="540"/>
      <c r="AC672" s="540"/>
      <c r="AD672" s="540"/>
      <c r="AE672" s="540"/>
      <c r="AF672" s="540"/>
      <c r="AG672" s="540"/>
      <c r="AH672" s="540"/>
      <c r="AI672" s="540"/>
      <c r="AJ672" s="540"/>
      <c r="AK672" s="540"/>
      <c r="AL672" s="538"/>
      <c r="AM672" s="538"/>
      <c r="AN672" s="541"/>
    </row>
    <row r="673" spans="1:40" s="542" customFormat="1" ht="25.5">
      <c r="A673" s="263"/>
      <c r="B673" s="478" t="s">
        <v>507</v>
      </c>
      <c r="C673" s="502" t="s">
        <v>1267</v>
      </c>
      <c r="D673" s="502" t="s">
        <v>327</v>
      </c>
      <c r="E673" s="503" t="s">
        <v>508</v>
      </c>
      <c r="F673" s="504">
        <v>2491.782511</v>
      </c>
      <c r="G673" s="504">
        <v>971.567</v>
      </c>
      <c r="H673" s="504">
        <v>900</v>
      </c>
      <c r="I673" s="237">
        <v>900</v>
      </c>
      <c r="J673" s="237"/>
      <c r="K673" s="237">
        <v>900</v>
      </c>
      <c r="L673" s="237"/>
      <c r="M673" s="237"/>
      <c r="N673" s="239">
        <v>900</v>
      </c>
      <c r="O673" s="239"/>
      <c r="P673" s="239">
        <f t="shared" si="295"/>
        <v>900</v>
      </c>
      <c r="Q673" s="505">
        <v>900</v>
      </c>
      <c r="R673" s="307"/>
      <c r="S673" s="307"/>
      <c r="T673" s="307"/>
      <c r="U673" s="306"/>
      <c r="V673" s="540"/>
      <c r="W673" s="540"/>
      <c r="X673" s="540"/>
      <c r="Y673" s="540"/>
      <c r="Z673" s="540"/>
      <c r="AA673" s="540"/>
      <c r="AB673" s="540"/>
      <c r="AC673" s="540"/>
      <c r="AD673" s="540"/>
      <c r="AE673" s="540"/>
      <c r="AF673" s="540"/>
      <c r="AG673" s="540"/>
      <c r="AH673" s="540"/>
      <c r="AI673" s="540"/>
      <c r="AJ673" s="540"/>
      <c r="AK673" s="540"/>
      <c r="AL673" s="538"/>
      <c r="AM673" s="538"/>
      <c r="AN673" s="541"/>
    </row>
    <row r="674" spans="1:40" s="542" customFormat="1" ht="21" customHeight="1">
      <c r="A674" s="263"/>
      <c r="B674" s="478" t="s">
        <v>509</v>
      </c>
      <c r="C674" s="502" t="s">
        <v>1267</v>
      </c>
      <c r="D674" s="502" t="s">
        <v>505</v>
      </c>
      <c r="E674" s="503" t="s">
        <v>510</v>
      </c>
      <c r="F674" s="504">
        <v>14650</v>
      </c>
      <c r="G674" s="504">
        <v>3406.489</v>
      </c>
      <c r="H674" s="504">
        <v>5250</v>
      </c>
      <c r="I674" s="237">
        <v>5250</v>
      </c>
      <c r="J674" s="237"/>
      <c r="K674" s="237">
        <v>5250</v>
      </c>
      <c r="L674" s="237"/>
      <c r="M674" s="237"/>
      <c r="N674" s="239">
        <v>5250</v>
      </c>
      <c r="O674" s="239"/>
      <c r="P674" s="239">
        <f t="shared" si="295"/>
        <v>5250</v>
      </c>
      <c r="Q674" s="505">
        <v>5250</v>
      </c>
      <c r="R674" s="307"/>
      <c r="S674" s="307"/>
      <c r="T674" s="307"/>
      <c r="U674" s="306"/>
      <c r="V674" s="540"/>
      <c r="W674" s="540"/>
      <c r="X674" s="540"/>
      <c r="Y674" s="540"/>
      <c r="Z674" s="540"/>
      <c r="AA674" s="540"/>
      <c r="AB674" s="540"/>
      <c r="AC674" s="540"/>
      <c r="AD674" s="540"/>
      <c r="AE674" s="540"/>
      <c r="AF674" s="540"/>
      <c r="AG674" s="540"/>
      <c r="AH674" s="540"/>
      <c r="AI674" s="540"/>
      <c r="AJ674" s="540"/>
      <c r="AK674" s="540"/>
      <c r="AL674" s="538"/>
      <c r="AM674" s="538"/>
      <c r="AN674" s="541"/>
    </row>
    <row r="675" spans="1:40" s="542" customFormat="1" ht="24.75" customHeight="1">
      <c r="A675" s="263"/>
      <c r="B675" s="478" t="s">
        <v>511</v>
      </c>
      <c r="C675" s="502" t="s">
        <v>1267</v>
      </c>
      <c r="D675" s="502" t="s">
        <v>512</v>
      </c>
      <c r="E675" s="503" t="s">
        <v>513</v>
      </c>
      <c r="F675" s="504">
        <v>2600</v>
      </c>
      <c r="G675" s="504">
        <v>959.356</v>
      </c>
      <c r="H675" s="504">
        <v>930</v>
      </c>
      <c r="I675" s="237">
        <v>930</v>
      </c>
      <c r="J675" s="237"/>
      <c r="K675" s="237">
        <v>930</v>
      </c>
      <c r="L675" s="237"/>
      <c r="M675" s="237"/>
      <c r="N675" s="239">
        <v>930</v>
      </c>
      <c r="O675" s="239"/>
      <c r="P675" s="239">
        <f t="shared" si="295"/>
        <v>930</v>
      </c>
      <c r="Q675" s="505">
        <v>930</v>
      </c>
      <c r="R675" s="307"/>
      <c r="S675" s="307"/>
      <c r="T675" s="307"/>
      <c r="U675" s="306"/>
      <c r="V675" s="540"/>
      <c r="W675" s="540"/>
      <c r="X675" s="540"/>
      <c r="Y675" s="540"/>
      <c r="Z675" s="540"/>
      <c r="AA675" s="540"/>
      <c r="AB675" s="540"/>
      <c r="AC675" s="540"/>
      <c r="AD675" s="540"/>
      <c r="AE675" s="540"/>
      <c r="AF675" s="540"/>
      <c r="AG675" s="540"/>
      <c r="AH675" s="540"/>
      <c r="AI675" s="540"/>
      <c r="AJ675" s="540"/>
      <c r="AK675" s="540"/>
      <c r="AL675" s="538"/>
      <c r="AM675" s="538"/>
      <c r="AN675" s="541"/>
    </row>
    <row r="676" spans="1:40" s="542" customFormat="1" ht="38.25">
      <c r="A676" s="263"/>
      <c r="B676" s="478" t="s">
        <v>514</v>
      </c>
      <c r="C676" s="502" t="s">
        <v>1267</v>
      </c>
      <c r="D676" s="502" t="s">
        <v>327</v>
      </c>
      <c r="E676" s="503" t="s">
        <v>515</v>
      </c>
      <c r="F676" s="504">
        <v>4470</v>
      </c>
      <c r="G676" s="504">
        <v>1613.976</v>
      </c>
      <c r="H676" s="504">
        <v>1100</v>
      </c>
      <c r="I676" s="237">
        <v>1100</v>
      </c>
      <c r="J676" s="237"/>
      <c r="K676" s="237">
        <v>1100</v>
      </c>
      <c r="L676" s="237"/>
      <c r="M676" s="237"/>
      <c r="N676" s="239">
        <v>1100</v>
      </c>
      <c r="O676" s="239"/>
      <c r="P676" s="239">
        <f t="shared" si="295"/>
        <v>1100</v>
      </c>
      <c r="Q676" s="505">
        <v>1100</v>
      </c>
      <c r="R676" s="307"/>
      <c r="S676" s="307"/>
      <c r="T676" s="307"/>
      <c r="U676" s="306"/>
      <c r="V676" s="540"/>
      <c r="W676" s="540"/>
      <c r="X676" s="540"/>
      <c r="Y676" s="540"/>
      <c r="Z676" s="540"/>
      <c r="AA676" s="540"/>
      <c r="AB676" s="540"/>
      <c r="AC676" s="540"/>
      <c r="AD676" s="540"/>
      <c r="AE676" s="540"/>
      <c r="AF676" s="540"/>
      <c r="AG676" s="540"/>
      <c r="AH676" s="540"/>
      <c r="AI676" s="540"/>
      <c r="AJ676" s="540"/>
      <c r="AK676" s="540"/>
      <c r="AL676" s="538"/>
      <c r="AM676" s="538"/>
      <c r="AN676" s="541"/>
    </row>
    <row r="677" spans="1:40" s="542" customFormat="1" ht="24.75" customHeight="1">
      <c r="A677" s="263"/>
      <c r="B677" s="478" t="s">
        <v>516</v>
      </c>
      <c r="C677" s="502" t="s">
        <v>1267</v>
      </c>
      <c r="D677" s="502" t="s">
        <v>512</v>
      </c>
      <c r="E677" s="503"/>
      <c r="F677" s="504">
        <v>2300</v>
      </c>
      <c r="G677" s="504">
        <v>840</v>
      </c>
      <c r="H677" s="504">
        <v>840</v>
      </c>
      <c r="I677" s="237">
        <v>840</v>
      </c>
      <c r="J677" s="237"/>
      <c r="K677" s="237">
        <v>840</v>
      </c>
      <c r="L677" s="237"/>
      <c r="M677" s="237"/>
      <c r="N677" s="239">
        <v>840</v>
      </c>
      <c r="O677" s="239"/>
      <c r="P677" s="239">
        <f t="shared" si="295"/>
        <v>840</v>
      </c>
      <c r="Q677" s="505">
        <v>840</v>
      </c>
      <c r="R677" s="307"/>
      <c r="S677" s="307"/>
      <c r="T677" s="307"/>
      <c r="U677" s="306"/>
      <c r="V677" s="540"/>
      <c r="W677" s="540"/>
      <c r="X677" s="540"/>
      <c r="Y677" s="540"/>
      <c r="Z677" s="540"/>
      <c r="AA677" s="540"/>
      <c r="AB677" s="540"/>
      <c r="AC677" s="540"/>
      <c r="AD677" s="540"/>
      <c r="AE677" s="540"/>
      <c r="AF677" s="540"/>
      <c r="AG677" s="540"/>
      <c r="AH677" s="540"/>
      <c r="AI677" s="540"/>
      <c r="AJ677" s="540"/>
      <c r="AK677" s="540"/>
      <c r="AL677" s="538"/>
      <c r="AM677" s="538"/>
      <c r="AN677" s="541"/>
    </row>
    <row r="678" spans="1:40" s="542" customFormat="1" ht="24.75" customHeight="1">
      <c r="A678" s="263"/>
      <c r="B678" s="478" t="s">
        <v>517</v>
      </c>
      <c r="C678" s="502" t="s">
        <v>1267</v>
      </c>
      <c r="D678" s="502"/>
      <c r="E678" s="503"/>
      <c r="F678" s="504"/>
      <c r="G678" s="504"/>
      <c r="H678" s="504"/>
      <c r="I678" s="237"/>
      <c r="J678" s="237"/>
      <c r="K678" s="237"/>
      <c r="L678" s="237"/>
      <c r="M678" s="237"/>
      <c r="N678" s="239">
        <f>SUM(P678,U678)</f>
        <v>741.12</v>
      </c>
      <c r="O678" s="239"/>
      <c r="P678" s="239">
        <f t="shared" si="295"/>
        <v>741.12</v>
      </c>
      <c r="Q678" s="505">
        <f>723.47+17.65</f>
        <v>741.12</v>
      </c>
      <c r="R678" s="307"/>
      <c r="S678" s="307"/>
      <c r="T678" s="307"/>
      <c r="U678" s="306"/>
      <c r="V678" s="540"/>
      <c r="W678" s="540"/>
      <c r="X678" s="540"/>
      <c r="Y678" s="540"/>
      <c r="Z678" s="540"/>
      <c r="AA678" s="540"/>
      <c r="AB678" s="540"/>
      <c r="AC678" s="540"/>
      <c r="AD678" s="540"/>
      <c r="AE678" s="540"/>
      <c r="AF678" s="540"/>
      <c r="AG678" s="540"/>
      <c r="AH678" s="540"/>
      <c r="AI678" s="540"/>
      <c r="AJ678" s="540"/>
      <c r="AK678" s="540"/>
      <c r="AL678" s="538"/>
      <c r="AM678" s="538"/>
      <c r="AN678" s="541"/>
    </row>
    <row r="679" spans="1:40" s="542" customFormat="1" ht="24.75" customHeight="1">
      <c r="A679" s="263"/>
      <c r="B679" s="478" t="s">
        <v>518</v>
      </c>
      <c r="C679" s="502"/>
      <c r="D679" s="502"/>
      <c r="E679" s="503"/>
      <c r="F679" s="504"/>
      <c r="G679" s="504"/>
      <c r="H679" s="504"/>
      <c r="I679" s="237"/>
      <c r="J679" s="237"/>
      <c r="K679" s="237"/>
      <c r="L679" s="237"/>
      <c r="M679" s="237"/>
      <c r="N679" s="239">
        <f>SUM(P679,U679)</f>
        <v>620.76</v>
      </c>
      <c r="O679" s="239"/>
      <c r="P679" s="239">
        <v>620.76</v>
      </c>
      <c r="Q679" s="505"/>
      <c r="R679" s="307"/>
      <c r="S679" s="307"/>
      <c r="T679" s="307"/>
      <c r="U679" s="306"/>
      <c r="V679" s="540"/>
      <c r="W679" s="540"/>
      <c r="X679" s="540"/>
      <c r="Y679" s="540"/>
      <c r="Z679" s="540"/>
      <c r="AA679" s="540"/>
      <c r="AB679" s="540"/>
      <c r="AC679" s="540"/>
      <c r="AD679" s="540"/>
      <c r="AE679" s="540"/>
      <c r="AF679" s="540"/>
      <c r="AG679" s="540"/>
      <c r="AH679" s="540"/>
      <c r="AI679" s="540"/>
      <c r="AJ679" s="540"/>
      <c r="AK679" s="540"/>
      <c r="AL679" s="538"/>
      <c r="AM679" s="538"/>
      <c r="AN679" s="541"/>
    </row>
    <row r="680" spans="1:40" s="542" customFormat="1" ht="24.75" customHeight="1">
      <c r="A680" s="263"/>
      <c r="B680" s="478" t="s">
        <v>519</v>
      </c>
      <c r="C680" s="502"/>
      <c r="D680" s="502"/>
      <c r="E680" s="503"/>
      <c r="F680" s="504"/>
      <c r="G680" s="504"/>
      <c r="H680" s="504"/>
      <c r="I680" s="237"/>
      <c r="J680" s="237"/>
      <c r="K680" s="237"/>
      <c r="L680" s="237"/>
      <c r="M680" s="237"/>
      <c r="N680" s="239">
        <f>SUM(P680,U680)</f>
        <v>70.97</v>
      </c>
      <c r="O680" s="239"/>
      <c r="P680" s="239">
        <f>6.97+46.37+17.63</f>
        <v>70.97</v>
      </c>
      <c r="Q680" s="505"/>
      <c r="R680" s="307"/>
      <c r="S680" s="307"/>
      <c r="T680" s="307"/>
      <c r="U680" s="306"/>
      <c r="V680" s="540"/>
      <c r="W680" s="540"/>
      <c r="X680" s="540"/>
      <c r="Y680" s="540"/>
      <c r="Z680" s="540"/>
      <c r="AA680" s="540"/>
      <c r="AB680" s="540"/>
      <c r="AC680" s="540"/>
      <c r="AD680" s="540"/>
      <c r="AE680" s="540"/>
      <c r="AF680" s="540"/>
      <c r="AG680" s="540"/>
      <c r="AH680" s="540"/>
      <c r="AI680" s="540"/>
      <c r="AJ680" s="540"/>
      <c r="AK680" s="540"/>
      <c r="AL680" s="538"/>
      <c r="AM680" s="538"/>
      <c r="AN680" s="541"/>
    </row>
    <row r="681" spans="1:40" s="542" customFormat="1" ht="24.75" customHeight="1">
      <c r="A681" s="263"/>
      <c r="B681" s="478" t="s">
        <v>520</v>
      </c>
      <c r="C681" s="502"/>
      <c r="D681" s="502"/>
      <c r="E681" s="503"/>
      <c r="F681" s="504"/>
      <c r="G681" s="504"/>
      <c r="H681" s="504"/>
      <c r="I681" s="237"/>
      <c r="J681" s="237"/>
      <c r="K681" s="237"/>
      <c r="L681" s="237"/>
      <c r="M681" s="237"/>
      <c r="N681" s="239">
        <f>SUM(P681,U681)</f>
        <v>49.37</v>
      </c>
      <c r="O681" s="239"/>
      <c r="P681" s="239">
        <f>45.66+3.71</f>
        <v>49.37</v>
      </c>
      <c r="Q681" s="505"/>
      <c r="R681" s="307"/>
      <c r="S681" s="307"/>
      <c r="T681" s="307"/>
      <c r="U681" s="306"/>
      <c r="V681" s="540"/>
      <c r="W681" s="540"/>
      <c r="X681" s="540"/>
      <c r="Y681" s="540"/>
      <c r="Z681" s="540"/>
      <c r="AA681" s="540"/>
      <c r="AB681" s="540"/>
      <c r="AC681" s="540"/>
      <c r="AD681" s="540"/>
      <c r="AE681" s="540"/>
      <c r="AF681" s="540"/>
      <c r="AG681" s="540"/>
      <c r="AH681" s="540"/>
      <c r="AI681" s="540"/>
      <c r="AJ681" s="540"/>
      <c r="AK681" s="540"/>
      <c r="AL681" s="538"/>
      <c r="AM681" s="538"/>
      <c r="AN681" s="541"/>
    </row>
    <row r="682" spans="1:40" s="542" customFormat="1" ht="24.75" customHeight="1">
      <c r="A682" s="263"/>
      <c r="B682" s="478" t="s">
        <v>521</v>
      </c>
      <c r="C682" s="502" t="s">
        <v>1054</v>
      </c>
      <c r="D682" s="502" t="s">
        <v>1339</v>
      </c>
      <c r="E682" s="503"/>
      <c r="F682" s="504">
        <v>9340</v>
      </c>
      <c r="G682" s="504">
        <v>9282.585</v>
      </c>
      <c r="H682" s="504">
        <v>5599.132</v>
      </c>
      <c r="I682" s="237">
        <v>3584</v>
      </c>
      <c r="J682" s="237"/>
      <c r="K682" s="237">
        <v>3584</v>
      </c>
      <c r="L682" s="237"/>
      <c r="M682" s="237"/>
      <c r="N682" s="239">
        <v>3583.453</v>
      </c>
      <c r="O682" s="239"/>
      <c r="P682" s="239">
        <f aca="true" t="shared" si="296" ref="P682:P688">SUM(Q682:S682)</f>
        <v>3583.453</v>
      </c>
      <c r="Q682" s="505">
        <v>3583.453</v>
      </c>
      <c r="R682" s="307"/>
      <c r="S682" s="307"/>
      <c r="T682" s="307"/>
      <c r="U682" s="306"/>
      <c r="V682" s="540"/>
      <c r="W682" s="540"/>
      <c r="X682" s="540"/>
      <c r="Y682" s="540"/>
      <c r="Z682" s="540"/>
      <c r="AA682" s="540"/>
      <c r="AB682" s="540"/>
      <c r="AC682" s="540"/>
      <c r="AD682" s="540"/>
      <c r="AE682" s="540"/>
      <c r="AF682" s="540"/>
      <c r="AG682" s="540"/>
      <c r="AH682" s="540"/>
      <c r="AI682" s="540"/>
      <c r="AJ682" s="540"/>
      <c r="AK682" s="540"/>
      <c r="AL682" s="538"/>
      <c r="AM682" s="538"/>
      <c r="AN682" s="541"/>
    </row>
    <row r="683" spans="1:40" s="542" customFormat="1" ht="19.5" customHeight="1">
      <c r="A683" s="263"/>
      <c r="B683" s="478" t="s">
        <v>522</v>
      </c>
      <c r="C683" s="502" t="s">
        <v>1267</v>
      </c>
      <c r="D683" s="502" t="s">
        <v>1339</v>
      </c>
      <c r="E683" s="503"/>
      <c r="F683" s="504">
        <v>14900</v>
      </c>
      <c r="G683" s="504">
        <v>14462.334</v>
      </c>
      <c r="H683" s="504">
        <v>8258.6</v>
      </c>
      <c r="I683" s="237">
        <v>6204.4</v>
      </c>
      <c r="J683" s="237">
        <v>41.4</v>
      </c>
      <c r="K683" s="237">
        <v>6204.4</v>
      </c>
      <c r="L683" s="237"/>
      <c r="M683" s="237"/>
      <c r="N683" s="239">
        <f>SUM(P683)</f>
        <v>6177.2339999999995</v>
      </c>
      <c r="O683" s="239"/>
      <c r="P683" s="239">
        <f t="shared" si="296"/>
        <v>6177.2339999999995</v>
      </c>
      <c r="Q683" s="505">
        <f>6162.334+14.9</f>
        <v>6177.2339999999995</v>
      </c>
      <c r="R683" s="307"/>
      <c r="S683" s="307"/>
      <c r="T683" s="307"/>
      <c r="U683" s="306"/>
      <c r="V683" s="540"/>
      <c r="W683" s="540"/>
      <c r="X683" s="540"/>
      <c r="Y683" s="540"/>
      <c r="Z683" s="540"/>
      <c r="AA683" s="540"/>
      <c r="AB683" s="540"/>
      <c r="AC683" s="540"/>
      <c r="AD683" s="540"/>
      <c r="AE683" s="540"/>
      <c r="AF683" s="540"/>
      <c r="AG683" s="540"/>
      <c r="AH683" s="540"/>
      <c r="AI683" s="540"/>
      <c r="AJ683" s="540"/>
      <c r="AK683" s="540"/>
      <c r="AL683" s="538"/>
      <c r="AM683" s="538"/>
      <c r="AN683" s="541"/>
    </row>
    <row r="684" spans="1:40" s="542" customFormat="1" ht="19.5" customHeight="1">
      <c r="A684" s="263"/>
      <c r="B684" s="478" t="s">
        <v>523</v>
      </c>
      <c r="C684" s="502" t="s">
        <v>1267</v>
      </c>
      <c r="D684" s="502" t="s">
        <v>335</v>
      </c>
      <c r="E684" s="503"/>
      <c r="F684" s="504">
        <v>643.939285</v>
      </c>
      <c r="G684" s="504"/>
      <c r="H684" s="504"/>
      <c r="I684" s="237">
        <v>520</v>
      </c>
      <c r="J684" s="237"/>
      <c r="K684" s="237">
        <v>520</v>
      </c>
      <c r="L684" s="237"/>
      <c r="M684" s="237"/>
      <c r="N684" s="239">
        <v>511.35</v>
      </c>
      <c r="O684" s="239"/>
      <c r="P684" s="239">
        <f t="shared" si="296"/>
        <v>511.35</v>
      </c>
      <c r="Q684" s="505">
        <v>511.35</v>
      </c>
      <c r="R684" s="307"/>
      <c r="S684" s="307"/>
      <c r="T684" s="307"/>
      <c r="U684" s="306"/>
      <c r="V684" s="540"/>
      <c r="W684" s="540"/>
      <c r="X684" s="540"/>
      <c r="Y684" s="540"/>
      <c r="Z684" s="540"/>
      <c r="AA684" s="540"/>
      <c r="AB684" s="540"/>
      <c r="AC684" s="540"/>
      <c r="AD684" s="540"/>
      <c r="AE684" s="540"/>
      <c r="AF684" s="540"/>
      <c r="AG684" s="540"/>
      <c r="AH684" s="540"/>
      <c r="AI684" s="540"/>
      <c r="AJ684" s="540"/>
      <c r="AK684" s="540"/>
      <c r="AL684" s="538"/>
      <c r="AM684" s="538"/>
      <c r="AN684" s="541"/>
    </row>
    <row r="685" spans="1:40" s="542" customFormat="1" ht="18" customHeight="1">
      <c r="A685" s="263"/>
      <c r="B685" s="478" t="s">
        <v>524</v>
      </c>
      <c r="C685" s="502" t="s">
        <v>1267</v>
      </c>
      <c r="D685" s="502" t="s">
        <v>335</v>
      </c>
      <c r="E685" s="503"/>
      <c r="F685" s="504">
        <v>5000</v>
      </c>
      <c r="G685" s="504"/>
      <c r="H685" s="504"/>
      <c r="I685" s="237">
        <v>2500</v>
      </c>
      <c r="J685" s="237"/>
      <c r="K685" s="237">
        <v>2500</v>
      </c>
      <c r="L685" s="237"/>
      <c r="M685" s="237"/>
      <c r="N685" s="239">
        <v>2500</v>
      </c>
      <c r="O685" s="239"/>
      <c r="P685" s="239">
        <f t="shared" si="296"/>
        <v>2500</v>
      </c>
      <c r="Q685" s="505">
        <v>2500</v>
      </c>
      <c r="R685" s="307"/>
      <c r="S685" s="307"/>
      <c r="T685" s="307"/>
      <c r="U685" s="306"/>
      <c r="V685" s="540"/>
      <c r="W685" s="540"/>
      <c r="X685" s="540"/>
      <c r="Y685" s="540"/>
      <c r="Z685" s="540"/>
      <c r="AA685" s="540"/>
      <c r="AB685" s="540"/>
      <c r="AC685" s="540"/>
      <c r="AD685" s="540"/>
      <c r="AE685" s="540"/>
      <c r="AF685" s="540"/>
      <c r="AG685" s="540"/>
      <c r="AH685" s="540"/>
      <c r="AI685" s="540"/>
      <c r="AJ685" s="540"/>
      <c r="AK685" s="540"/>
      <c r="AL685" s="538"/>
      <c r="AM685" s="538"/>
      <c r="AN685" s="541"/>
    </row>
    <row r="686" spans="1:40" s="542" customFormat="1" ht="18.75" customHeight="1">
      <c r="A686" s="263"/>
      <c r="B686" s="478" t="s">
        <v>525</v>
      </c>
      <c r="C686" s="502" t="s">
        <v>1267</v>
      </c>
      <c r="D686" s="502" t="s">
        <v>335</v>
      </c>
      <c r="E686" s="503"/>
      <c r="F686" s="504">
        <v>4845</v>
      </c>
      <c r="G686" s="504"/>
      <c r="H686" s="504"/>
      <c r="I686" s="237">
        <v>2450</v>
      </c>
      <c r="J686" s="237"/>
      <c r="K686" s="237">
        <v>2450</v>
      </c>
      <c r="L686" s="237"/>
      <c r="M686" s="237"/>
      <c r="N686" s="239">
        <v>2450</v>
      </c>
      <c r="O686" s="239"/>
      <c r="P686" s="239">
        <f t="shared" si="296"/>
        <v>2450</v>
      </c>
      <c r="Q686" s="505">
        <v>2450</v>
      </c>
      <c r="R686" s="307"/>
      <c r="S686" s="307"/>
      <c r="T686" s="307"/>
      <c r="U686" s="306"/>
      <c r="V686" s="540"/>
      <c r="W686" s="540"/>
      <c r="X686" s="540"/>
      <c r="Y686" s="540"/>
      <c r="Z686" s="540"/>
      <c r="AA686" s="540"/>
      <c r="AB686" s="540"/>
      <c r="AC686" s="540"/>
      <c r="AD686" s="540"/>
      <c r="AE686" s="540"/>
      <c r="AF686" s="540"/>
      <c r="AG686" s="540"/>
      <c r="AH686" s="540"/>
      <c r="AI686" s="540"/>
      <c r="AJ686" s="540"/>
      <c r="AK686" s="540"/>
      <c r="AL686" s="538"/>
      <c r="AM686" s="538"/>
      <c r="AN686" s="541"/>
    </row>
    <row r="687" spans="1:40" s="542" customFormat="1" ht="18.75" customHeight="1">
      <c r="A687" s="263"/>
      <c r="B687" s="478" t="s">
        <v>526</v>
      </c>
      <c r="C687" s="502" t="s">
        <v>1267</v>
      </c>
      <c r="D687" s="502" t="s">
        <v>335</v>
      </c>
      <c r="E687" s="503"/>
      <c r="F687" s="504">
        <v>9132.821</v>
      </c>
      <c r="G687" s="504"/>
      <c r="H687" s="504"/>
      <c r="I687" s="237">
        <v>3953</v>
      </c>
      <c r="J687" s="237"/>
      <c r="K687" s="237">
        <v>3953</v>
      </c>
      <c r="L687" s="237"/>
      <c r="M687" s="237"/>
      <c r="N687" s="239">
        <v>3200</v>
      </c>
      <c r="O687" s="239"/>
      <c r="P687" s="239">
        <f t="shared" si="296"/>
        <v>3200</v>
      </c>
      <c r="Q687" s="505">
        <v>3200</v>
      </c>
      <c r="R687" s="307"/>
      <c r="S687" s="307"/>
      <c r="T687" s="307"/>
      <c r="U687" s="306"/>
      <c r="V687" s="540"/>
      <c r="W687" s="540"/>
      <c r="X687" s="540"/>
      <c r="Y687" s="540"/>
      <c r="Z687" s="540"/>
      <c r="AA687" s="540"/>
      <c r="AB687" s="540"/>
      <c r="AC687" s="540"/>
      <c r="AD687" s="540"/>
      <c r="AE687" s="540"/>
      <c r="AF687" s="540"/>
      <c r="AG687" s="540"/>
      <c r="AH687" s="540"/>
      <c r="AI687" s="540"/>
      <c r="AJ687" s="540"/>
      <c r="AK687" s="540"/>
      <c r="AL687" s="538"/>
      <c r="AM687" s="538"/>
      <c r="AN687" s="541"/>
    </row>
    <row r="688" spans="1:40" s="542" customFormat="1" ht="25.5">
      <c r="A688" s="263"/>
      <c r="B688" s="478" t="s">
        <v>527</v>
      </c>
      <c r="C688" s="502" t="s">
        <v>1267</v>
      </c>
      <c r="D688" s="502" t="s">
        <v>335</v>
      </c>
      <c r="E688" s="503"/>
      <c r="F688" s="504">
        <v>15000</v>
      </c>
      <c r="G688" s="504"/>
      <c r="H688" s="504"/>
      <c r="I688" s="237">
        <v>5250</v>
      </c>
      <c r="J688" s="237"/>
      <c r="K688" s="237">
        <v>5250</v>
      </c>
      <c r="L688" s="237"/>
      <c r="M688" s="237"/>
      <c r="N688" s="239">
        <v>5250</v>
      </c>
      <c r="O688" s="239"/>
      <c r="P688" s="239">
        <f t="shared" si="296"/>
        <v>5250</v>
      </c>
      <c r="Q688" s="505">
        <v>5250</v>
      </c>
      <c r="R688" s="307"/>
      <c r="S688" s="307"/>
      <c r="T688" s="307"/>
      <c r="U688" s="306"/>
      <c r="V688" s="540"/>
      <c r="W688" s="540"/>
      <c r="X688" s="540"/>
      <c r="Y688" s="540"/>
      <c r="Z688" s="540"/>
      <c r="AA688" s="540"/>
      <c r="AB688" s="540"/>
      <c r="AC688" s="540"/>
      <c r="AD688" s="540"/>
      <c r="AE688" s="540"/>
      <c r="AF688" s="540"/>
      <c r="AG688" s="540"/>
      <c r="AH688" s="540"/>
      <c r="AI688" s="540"/>
      <c r="AJ688" s="540"/>
      <c r="AK688" s="540"/>
      <c r="AL688" s="538"/>
      <c r="AM688" s="538"/>
      <c r="AN688" s="541"/>
    </row>
    <row r="689" spans="1:40" s="542" customFormat="1" ht="21" customHeight="1">
      <c r="A689" s="263"/>
      <c r="B689" s="478" t="s">
        <v>528</v>
      </c>
      <c r="C689" s="502"/>
      <c r="D689" s="502"/>
      <c r="E689" s="503"/>
      <c r="F689" s="504"/>
      <c r="G689" s="504"/>
      <c r="H689" s="504"/>
      <c r="I689" s="237"/>
      <c r="J689" s="237"/>
      <c r="K689" s="237"/>
      <c r="L689" s="237"/>
      <c r="M689" s="237"/>
      <c r="N689" s="239">
        <f>SUM(P689,U689)</f>
        <v>1738.86</v>
      </c>
      <c r="O689" s="239"/>
      <c r="P689" s="239">
        <v>1738.86</v>
      </c>
      <c r="Q689" s="505"/>
      <c r="R689" s="307"/>
      <c r="S689" s="307"/>
      <c r="T689" s="307"/>
      <c r="U689" s="306"/>
      <c r="V689" s="540"/>
      <c r="W689" s="540"/>
      <c r="X689" s="540"/>
      <c r="Y689" s="540"/>
      <c r="Z689" s="540"/>
      <c r="AA689" s="540"/>
      <c r="AB689" s="540"/>
      <c r="AC689" s="540"/>
      <c r="AD689" s="540"/>
      <c r="AE689" s="540"/>
      <c r="AF689" s="540"/>
      <c r="AG689" s="540"/>
      <c r="AH689" s="540"/>
      <c r="AI689" s="540"/>
      <c r="AJ689" s="540"/>
      <c r="AK689" s="540"/>
      <c r="AL689" s="538"/>
      <c r="AM689" s="538"/>
      <c r="AN689" s="541"/>
    </row>
    <row r="690" spans="1:40" s="542" customFormat="1" ht="21.75" customHeight="1">
      <c r="A690" s="263"/>
      <c r="B690" s="478" t="s">
        <v>529</v>
      </c>
      <c r="C690" s="502" t="s">
        <v>1062</v>
      </c>
      <c r="D690" s="502"/>
      <c r="E690" s="503"/>
      <c r="F690" s="504">
        <v>42100</v>
      </c>
      <c r="G690" s="504"/>
      <c r="H690" s="504"/>
      <c r="I690" s="237">
        <v>2308.669</v>
      </c>
      <c r="J690" s="237"/>
      <c r="K690" s="237">
        <v>2308.669</v>
      </c>
      <c r="L690" s="237"/>
      <c r="M690" s="237"/>
      <c r="N690" s="239">
        <v>1100</v>
      </c>
      <c r="O690" s="239"/>
      <c r="P690" s="239">
        <f>SUM(Q690:S690)</f>
        <v>1100</v>
      </c>
      <c r="Q690" s="505">
        <v>1100</v>
      </c>
      <c r="R690" s="307"/>
      <c r="S690" s="307"/>
      <c r="T690" s="307"/>
      <c r="U690" s="306"/>
      <c r="V690" s="540"/>
      <c r="W690" s="540"/>
      <c r="X690" s="540"/>
      <c r="Y690" s="540"/>
      <c r="Z690" s="540"/>
      <c r="AA690" s="540"/>
      <c r="AB690" s="540"/>
      <c r="AC690" s="540"/>
      <c r="AD690" s="540"/>
      <c r="AE690" s="540"/>
      <c r="AF690" s="540"/>
      <c r="AG690" s="540"/>
      <c r="AH690" s="540"/>
      <c r="AI690" s="540"/>
      <c r="AJ690" s="540"/>
      <c r="AK690" s="540"/>
      <c r="AL690" s="538"/>
      <c r="AM690" s="538"/>
      <c r="AN690" s="541"/>
    </row>
    <row r="691" spans="1:40" s="542" customFormat="1" ht="19.5" customHeight="1">
      <c r="A691" s="263"/>
      <c r="B691" s="478" t="s">
        <v>530</v>
      </c>
      <c r="C691" s="502" t="s">
        <v>1267</v>
      </c>
      <c r="D691" s="502"/>
      <c r="E691" s="503"/>
      <c r="F691" s="504">
        <v>19272</v>
      </c>
      <c r="G691" s="504"/>
      <c r="H691" s="504"/>
      <c r="I691" s="237">
        <v>2100</v>
      </c>
      <c r="J691" s="237"/>
      <c r="K691" s="237">
        <v>2100</v>
      </c>
      <c r="L691" s="237"/>
      <c r="M691" s="237"/>
      <c r="N691" s="239">
        <v>1981.5</v>
      </c>
      <c r="O691" s="239"/>
      <c r="P691" s="239">
        <f aca="true" t="shared" si="297" ref="P691:P712">SUM(Q691:S691)</f>
        <v>1981.5</v>
      </c>
      <c r="Q691" s="505">
        <v>1981.5</v>
      </c>
      <c r="R691" s="307"/>
      <c r="S691" s="307"/>
      <c r="T691" s="307"/>
      <c r="U691" s="306"/>
      <c r="V691" s="540"/>
      <c r="W691" s="540"/>
      <c r="X691" s="540"/>
      <c r="Y691" s="540"/>
      <c r="Z691" s="540"/>
      <c r="AA691" s="540"/>
      <c r="AB691" s="540"/>
      <c r="AC691" s="540"/>
      <c r="AD691" s="540"/>
      <c r="AE691" s="540"/>
      <c r="AF691" s="540"/>
      <c r="AG691" s="540"/>
      <c r="AH691" s="540"/>
      <c r="AI691" s="540"/>
      <c r="AJ691" s="540"/>
      <c r="AK691" s="540"/>
      <c r="AL691" s="538"/>
      <c r="AM691" s="538"/>
      <c r="AN691" s="541"/>
    </row>
    <row r="692" spans="1:40" s="542" customFormat="1" ht="19.5" customHeight="1">
      <c r="A692" s="263"/>
      <c r="B692" s="478" t="s">
        <v>531</v>
      </c>
      <c r="C692" s="502" t="s">
        <v>1267</v>
      </c>
      <c r="D692" s="502"/>
      <c r="E692" s="503"/>
      <c r="F692" s="504">
        <v>14843.128</v>
      </c>
      <c r="G692" s="504"/>
      <c r="H692" s="504"/>
      <c r="I692" s="237"/>
      <c r="J692" s="237"/>
      <c r="K692" s="237"/>
      <c r="L692" s="237"/>
      <c r="M692" s="237"/>
      <c r="N692" s="239">
        <v>168.01999999999998</v>
      </c>
      <c r="O692" s="239"/>
      <c r="P692" s="239">
        <f t="shared" si="297"/>
        <v>168.01999999999998</v>
      </c>
      <c r="Q692" s="505">
        <v>168.01999999999998</v>
      </c>
      <c r="R692" s="307"/>
      <c r="S692" s="307"/>
      <c r="T692" s="307"/>
      <c r="U692" s="306"/>
      <c r="V692" s="540"/>
      <c r="W692" s="540"/>
      <c r="X692" s="540"/>
      <c r="Y692" s="540"/>
      <c r="Z692" s="540"/>
      <c r="AA692" s="540"/>
      <c r="AB692" s="540"/>
      <c r="AC692" s="540"/>
      <c r="AD692" s="540"/>
      <c r="AE692" s="540"/>
      <c r="AF692" s="540"/>
      <c r="AG692" s="540"/>
      <c r="AH692" s="540"/>
      <c r="AI692" s="540"/>
      <c r="AJ692" s="540"/>
      <c r="AK692" s="540"/>
      <c r="AL692" s="538"/>
      <c r="AM692" s="538"/>
      <c r="AN692" s="541"/>
    </row>
    <row r="693" spans="1:40" s="542" customFormat="1" ht="19.5" customHeight="1">
      <c r="A693" s="263"/>
      <c r="B693" s="478" t="s">
        <v>532</v>
      </c>
      <c r="C693" s="502" t="s">
        <v>1267</v>
      </c>
      <c r="D693" s="502"/>
      <c r="E693" s="503"/>
      <c r="F693" s="504">
        <v>14819.57</v>
      </c>
      <c r="G693" s="504"/>
      <c r="H693" s="504"/>
      <c r="I693" s="237"/>
      <c r="J693" s="237"/>
      <c r="K693" s="237"/>
      <c r="L693" s="237"/>
      <c r="M693" s="237"/>
      <c r="N693" s="239">
        <v>166.317</v>
      </c>
      <c r="O693" s="239"/>
      <c r="P693" s="239">
        <f t="shared" si="297"/>
        <v>166.317</v>
      </c>
      <c r="Q693" s="505">
        <v>166.317</v>
      </c>
      <c r="R693" s="307"/>
      <c r="S693" s="307"/>
      <c r="T693" s="307"/>
      <c r="U693" s="306"/>
      <c r="V693" s="540"/>
      <c r="W693" s="540"/>
      <c r="X693" s="540"/>
      <c r="Y693" s="540"/>
      <c r="Z693" s="540"/>
      <c r="AA693" s="540"/>
      <c r="AB693" s="540"/>
      <c r="AC693" s="540"/>
      <c r="AD693" s="540"/>
      <c r="AE693" s="540"/>
      <c r="AF693" s="540"/>
      <c r="AG693" s="540"/>
      <c r="AH693" s="540"/>
      <c r="AI693" s="540"/>
      <c r="AJ693" s="540"/>
      <c r="AK693" s="540"/>
      <c r="AL693" s="538"/>
      <c r="AM693" s="538"/>
      <c r="AN693" s="541"/>
    </row>
    <row r="694" spans="1:40" s="542" customFormat="1" ht="19.5" customHeight="1">
      <c r="A694" s="263"/>
      <c r="B694" s="478" t="s">
        <v>533</v>
      </c>
      <c r="C694" s="502" t="s">
        <v>1267</v>
      </c>
      <c r="D694" s="502"/>
      <c r="E694" s="503"/>
      <c r="F694" s="504">
        <v>13990.96</v>
      </c>
      <c r="G694" s="504"/>
      <c r="H694" s="504"/>
      <c r="I694" s="237">
        <v>3800</v>
      </c>
      <c r="J694" s="237"/>
      <c r="K694" s="237">
        <v>3800</v>
      </c>
      <c r="L694" s="237"/>
      <c r="M694" s="237"/>
      <c r="N694" s="239">
        <v>4352.3099999999995</v>
      </c>
      <c r="O694" s="239"/>
      <c r="P694" s="239">
        <f t="shared" si="297"/>
        <v>4352.3099999999995</v>
      </c>
      <c r="Q694" s="505">
        <v>4352.3099999999995</v>
      </c>
      <c r="R694" s="307"/>
      <c r="S694" s="307"/>
      <c r="T694" s="307"/>
      <c r="U694" s="306"/>
      <c r="V694" s="540"/>
      <c r="W694" s="540"/>
      <c r="X694" s="540"/>
      <c r="Y694" s="540"/>
      <c r="Z694" s="540"/>
      <c r="AA694" s="540"/>
      <c r="AB694" s="540"/>
      <c r="AC694" s="540"/>
      <c r="AD694" s="540"/>
      <c r="AE694" s="540"/>
      <c r="AF694" s="540"/>
      <c r="AG694" s="540"/>
      <c r="AH694" s="540"/>
      <c r="AI694" s="540"/>
      <c r="AJ694" s="540"/>
      <c r="AK694" s="540"/>
      <c r="AL694" s="538"/>
      <c r="AM694" s="538"/>
      <c r="AN694" s="541"/>
    </row>
    <row r="695" spans="1:40" s="542" customFormat="1" ht="19.5" customHeight="1">
      <c r="A695" s="263"/>
      <c r="B695" s="478" t="s">
        <v>534</v>
      </c>
      <c r="C695" s="502" t="s">
        <v>1267</v>
      </c>
      <c r="D695" s="502"/>
      <c r="E695" s="503"/>
      <c r="F695" s="504">
        <v>13933.803</v>
      </c>
      <c r="G695" s="504"/>
      <c r="H695" s="504"/>
      <c r="I695" s="237">
        <v>3625</v>
      </c>
      <c r="J695" s="237"/>
      <c r="K695" s="237">
        <v>3625</v>
      </c>
      <c r="L695" s="237"/>
      <c r="M695" s="237"/>
      <c r="N695" s="239">
        <v>4440.6900000000005</v>
      </c>
      <c r="O695" s="239"/>
      <c r="P695" s="239">
        <f t="shared" si="297"/>
        <v>4440.6900000000005</v>
      </c>
      <c r="Q695" s="505">
        <v>4440.6900000000005</v>
      </c>
      <c r="R695" s="307"/>
      <c r="S695" s="307"/>
      <c r="T695" s="307"/>
      <c r="U695" s="306"/>
      <c r="V695" s="540"/>
      <c r="W695" s="540"/>
      <c r="X695" s="540"/>
      <c r="Y695" s="540"/>
      <c r="Z695" s="540"/>
      <c r="AA695" s="540"/>
      <c r="AB695" s="540"/>
      <c r="AC695" s="540"/>
      <c r="AD695" s="540"/>
      <c r="AE695" s="540"/>
      <c r="AF695" s="540"/>
      <c r="AG695" s="540"/>
      <c r="AH695" s="540"/>
      <c r="AI695" s="540"/>
      <c r="AJ695" s="540"/>
      <c r="AK695" s="540"/>
      <c r="AL695" s="538"/>
      <c r="AM695" s="538"/>
      <c r="AN695" s="541"/>
    </row>
    <row r="696" spans="1:40" s="542" customFormat="1" ht="19.5" customHeight="1">
      <c r="A696" s="263"/>
      <c r="B696" s="478" t="s">
        <v>535</v>
      </c>
      <c r="C696" s="502" t="s">
        <v>1267</v>
      </c>
      <c r="D696" s="502"/>
      <c r="E696" s="503"/>
      <c r="F696" s="504">
        <v>14989.137</v>
      </c>
      <c r="G696" s="504"/>
      <c r="H696" s="504"/>
      <c r="I696" s="237"/>
      <c r="J696" s="237"/>
      <c r="K696" s="237"/>
      <c r="L696" s="237"/>
      <c r="M696" s="237"/>
      <c r="N696" s="239">
        <v>142.953</v>
      </c>
      <c r="O696" s="239"/>
      <c r="P696" s="239">
        <f t="shared" si="297"/>
        <v>142.953</v>
      </c>
      <c r="Q696" s="505">
        <v>142.953</v>
      </c>
      <c r="R696" s="307"/>
      <c r="S696" s="307"/>
      <c r="T696" s="307"/>
      <c r="U696" s="306"/>
      <c r="V696" s="540"/>
      <c r="W696" s="540"/>
      <c r="X696" s="540"/>
      <c r="Y696" s="540"/>
      <c r="Z696" s="540"/>
      <c r="AA696" s="540"/>
      <c r="AB696" s="540"/>
      <c r="AC696" s="540"/>
      <c r="AD696" s="540"/>
      <c r="AE696" s="540"/>
      <c r="AF696" s="540"/>
      <c r="AG696" s="540"/>
      <c r="AH696" s="540"/>
      <c r="AI696" s="540"/>
      <c r="AJ696" s="540"/>
      <c r="AK696" s="540"/>
      <c r="AL696" s="538"/>
      <c r="AM696" s="538"/>
      <c r="AN696" s="541"/>
    </row>
    <row r="697" spans="1:40" s="542" customFormat="1" ht="19.5" customHeight="1">
      <c r="A697" s="263"/>
      <c r="B697" s="478" t="s">
        <v>536</v>
      </c>
      <c r="C697" s="502" t="s">
        <v>1267</v>
      </c>
      <c r="D697" s="502"/>
      <c r="E697" s="503"/>
      <c r="F697" s="504">
        <v>18566</v>
      </c>
      <c r="G697" s="504"/>
      <c r="H697" s="504"/>
      <c r="I697" s="237">
        <v>4620</v>
      </c>
      <c r="J697" s="237"/>
      <c r="K697" s="237">
        <v>4620</v>
      </c>
      <c r="L697" s="237"/>
      <c r="M697" s="237"/>
      <c r="N697" s="239">
        <v>3344.051</v>
      </c>
      <c r="O697" s="239"/>
      <c r="P697" s="239">
        <f t="shared" si="297"/>
        <v>3344.051</v>
      </c>
      <c r="Q697" s="505">
        <v>3344.051</v>
      </c>
      <c r="R697" s="307"/>
      <c r="S697" s="307"/>
      <c r="T697" s="307"/>
      <c r="U697" s="306"/>
      <c r="V697" s="540"/>
      <c r="W697" s="540"/>
      <c r="X697" s="540"/>
      <c r="Y697" s="540"/>
      <c r="Z697" s="540"/>
      <c r="AA697" s="540"/>
      <c r="AB697" s="540"/>
      <c r="AC697" s="540"/>
      <c r="AD697" s="540"/>
      <c r="AE697" s="540"/>
      <c r="AF697" s="540"/>
      <c r="AG697" s="540"/>
      <c r="AH697" s="540"/>
      <c r="AI697" s="540"/>
      <c r="AJ697" s="540"/>
      <c r="AK697" s="540"/>
      <c r="AL697" s="538"/>
      <c r="AM697" s="538"/>
      <c r="AN697" s="541"/>
    </row>
    <row r="698" spans="1:40" s="542" customFormat="1" ht="19.5" customHeight="1">
      <c r="A698" s="263"/>
      <c r="B698" s="478" t="s">
        <v>537</v>
      </c>
      <c r="C698" s="502" t="s">
        <v>1267</v>
      </c>
      <c r="D698" s="502"/>
      <c r="E698" s="503"/>
      <c r="F698" s="504">
        <v>14330.82</v>
      </c>
      <c r="G698" s="504"/>
      <c r="H698" s="504"/>
      <c r="I698" s="237">
        <v>1780</v>
      </c>
      <c r="J698" s="237"/>
      <c r="K698" s="237">
        <v>1780</v>
      </c>
      <c r="L698" s="237"/>
      <c r="M698" s="237"/>
      <c r="N698" s="239">
        <v>1780</v>
      </c>
      <c r="O698" s="239"/>
      <c r="P698" s="239">
        <f t="shared" si="297"/>
        <v>1780</v>
      </c>
      <c r="Q698" s="505">
        <v>1780</v>
      </c>
      <c r="R698" s="307"/>
      <c r="S698" s="307"/>
      <c r="T698" s="307"/>
      <c r="U698" s="306"/>
      <c r="V698" s="540"/>
      <c r="W698" s="540"/>
      <c r="X698" s="540"/>
      <c r="Y698" s="540"/>
      <c r="Z698" s="540"/>
      <c r="AA698" s="540"/>
      <c r="AB698" s="540"/>
      <c r="AC698" s="540"/>
      <c r="AD698" s="540"/>
      <c r="AE698" s="540"/>
      <c r="AF698" s="540"/>
      <c r="AG698" s="540"/>
      <c r="AH698" s="540"/>
      <c r="AI698" s="540"/>
      <c r="AJ698" s="540"/>
      <c r="AK698" s="540"/>
      <c r="AL698" s="538"/>
      <c r="AM698" s="538"/>
      <c r="AN698" s="541"/>
    </row>
    <row r="699" spans="1:40" s="542" customFormat="1" ht="19.5" customHeight="1">
      <c r="A699" s="263"/>
      <c r="B699" s="478" t="s">
        <v>538</v>
      </c>
      <c r="C699" s="502" t="s">
        <v>1267</v>
      </c>
      <c r="D699" s="502"/>
      <c r="E699" s="503"/>
      <c r="F699" s="504">
        <v>179338</v>
      </c>
      <c r="G699" s="504"/>
      <c r="H699" s="504"/>
      <c r="I699" s="237">
        <v>6000</v>
      </c>
      <c r="J699" s="237"/>
      <c r="K699" s="237">
        <v>6000</v>
      </c>
      <c r="L699" s="237"/>
      <c r="M699" s="237"/>
      <c r="N699" s="239">
        <v>6000</v>
      </c>
      <c r="O699" s="239"/>
      <c r="P699" s="239">
        <f t="shared" si="297"/>
        <v>6000</v>
      </c>
      <c r="Q699" s="505">
        <v>6000</v>
      </c>
      <c r="R699" s="307"/>
      <c r="S699" s="307"/>
      <c r="T699" s="307"/>
      <c r="U699" s="306"/>
      <c r="V699" s="540"/>
      <c r="W699" s="540"/>
      <c r="X699" s="540"/>
      <c r="Y699" s="540"/>
      <c r="Z699" s="540"/>
      <c r="AA699" s="540"/>
      <c r="AB699" s="540"/>
      <c r="AC699" s="540"/>
      <c r="AD699" s="540"/>
      <c r="AE699" s="540"/>
      <c r="AF699" s="540"/>
      <c r="AG699" s="540"/>
      <c r="AH699" s="540"/>
      <c r="AI699" s="540"/>
      <c r="AJ699" s="540"/>
      <c r="AK699" s="540"/>
      <c r="AL699" s="538"/>
      <c r="AM699" s="538"/>
      <c r="AN699" s="541"/>
    </row>
    <row r="700" spans="1:40" s="542" customFormat="1" ht="19.5" customHeight="1">
      <c r="A700" s="263"/>
      <c r="B700" s="478" t="s">
        <v>539</v>
      </c>
      <c r="C700" s="502" t="s">
        <v>390</v>
      </c>
      <c r="D700" s="502"/>
      <c r="E700" s="503"/>
      <c r="F700" s="504"/>
      <c r="G700" s="504"/>
      <c r="H700" s="504"/>
      <c r="I700" s="237">
        <v>3100</v>
      </c>
      <c r="J700" s="237"/>
      <c r="K700" s="237">
        <v>3100</v>
      </c>
      <c r="L700" s="237"/>
      <c r="M700" s="237"/>
      <c r="N700" s="239">
        <v>1788.756</v>
      </c>
      <c r="O700" s="239"/>
      <c r="P700" s="239">
        <f t="shared" si="297"/>
        <v>1788.756</v>
      </c>
      <c r="Q700" s="505">
        <v>1788.756</v>
      </c>
      <c r="R700" s="307"/>
      <c r="S700" s="307"/>
      <c r="T700" s="307"/>
      <c r="U700" s="306"/>
      <c r="V700" s="540"/>
      <c r="W700" s="540"/>
      <c r="X700" s="540"/>
      <c r="Y700" s="540"/>
      <c r="Z700" s="540"/>
      <c r="AA700" s="540"/>
      <c r="AB700" s="540"/>
      <c r="AC700" s="540"/>
      <c r="AD700" s="540"/>
      <c r="AE700" s="540"/>
      <c r="AF700" s="540"/>
      <c r="AG700" s="540"/>
      <c r="AH700" s="540"/>
      <c r="AI700" s="540"/>
      <c r="AJ700" s="540"/>
      <c r="AK700" s="540"/>
      <c r="AL700" s="538"/>
      <c r="AM700" s="538"/>
      <c r="AN700" s="541"/>
    </row>
    <row r="701" spans="1:40" s="542" customFormat="1" ht="19.5" customHeight="1">
      <c r="A701" s="263"/>
      <c r="B701" s="478" t="s">
        <v>540</v>
      </c>
      <c r="C701" s="502" t="s">
        <v>1267</v>
      </c>
      <c r="D701" s="502"/>
      <c r="E701" s="503"/>
      <c r="F701" s="504"/>
      <c r="G701" s="504"/>
      <c r="H701" s="504"/>
      <c r="I701" s="237">
        <v>4000</v>
      </c>
      <c r="J701" s="237"/>
      <c r="K701" s="237">
        <v>4000</v>
      </c>
      <c r="L701" s="237"/>
      <c r="M701" s="237"/>
      <c r="N701" s="239">
        <v>2274.62</v>
      </c>
      <c r="O701" s="239"/>
      <c r="P701" s="239">
        <f t="shared" si="297"/>
        <v>2274.62</v>
      </c>
      <c r="Q701" s="505">
        <v>2274.62</v>
      </c>
      <c r="R701" s="307"/>
      <c r="S701" s="307"/>
      <c r="T701" s="307"/>
      <c r="U701" s="306"/>
      <c r="V701" s="540"/>
      <c r="W701" s="540"/>
      <c r="X701" s="540"/>
      <c r="Y701" s="540"/>
      <c r="Z701" s="540"/>
      <c r="AA701" s="540"/>
      <c r="AB701" s="540"/>
      <c r="AC701" s="540"/>
      <c r="AD701" s="540"/>
      <c r="AE701" s="540"/>
      <c r="AF701" s="540"/>
      <c r="AG701" s="540"/>
      <c r="AH701" s="540"/>
      <c r="AI701" s="540"/>
      <c r="AJ701" s="540"/>
      <c r="AK701" s="540"/>
      <c r="AL701" s="538"/>
      <c r="AM701" s="538"/>
      <c r="AN701" s="541"/>
    </row>
    <row r="702" spans="1:40" s="542" customFormat="1" ht="19.5" customHeight="1">
      <c r="A702" s="263"/>
      <c r="B702" s="478" t="s">
        <v>541</v>
      </c>
      <c r="C702" s="502" t="s">
        <v>1267</v>
      </c>
      <c r="D702" s="502"/>
      <c r="E702" s="503"/>
      <c r="F702" s="504"/>
      <c r="G702" s="504"/>
      <c r="H702" s="504"/>
      <c r="I702" s="237">
        <v>8450</v>
      </c>
      <c r="J702" s="237"/>
      <c r="K702" s="237">
        <v>8450</v>
      </c>
      <c r="L702" s="237"/>
      <c r="M702" s="237"/>
      <c r="N702" s="239">
        <v>7894.75</v>
      </c>
      <c r="O702" s="239"/>
      <c r="P702" s="239">
        <f t="shared" si="297"/>
        <v>7894.75</v>
      </c>
      <c r="Q702" s="505">
        <v>7894.75</v>
      </c>
      <c r="R702" s="307"/>
      <c r="S702" s="307"/>
      <c r="T702" s="307"/>
      <c r="U702" s="306"/>
      <c r="V702" s="540"/>
      <c r="W702" s="540"/>
      <c r="X702" s="540"/>
      <c r="Y702" s="540"/>
      <c r="Z702" s="540"/>
      <c r="AA702" s="540"/>
      <c r="AB702" s="540"/>
      <c r="AC702" s="540"/>
      <c r="AD702" s="540"/>
      <c r="AE702" s="540"/>
      <c r="AF702" s="540"/>
      <c r="AG702" s="540"/>
      <c r="AH702" s="540"/>
      <c r="AI702" s="540"/>
      <c r="AJ702" s="540"/>
      <c r="AK702" s="540"/>
      <c r="AL702" s="538"/>
      <c r="AM702" s="538"/>
      <c r="AN702" s="541"/>
    </row>
    <row r="703" spans="1:40" s="542" customFormat="1" ht="19.5" customHeight="1">
      <c r="A703" s="263"/>
      <c r="B703" s="478" t="s">
        <v>542</v>
      </c>
      <c r="C703" s="502" t="s">
        <v>1267</v>
      </c>
      <c r="D703" s="502"/>
      <c r="E703" s="503"/>
      <c r="F703" s="504"/>
      <c r="G703" s="504"/>
      <c r="H703" s="504"/>
      <c r="I703" s="237">
        <v>4100</v>
      </c>
      <c r="J703" s="237"/>
      <c r="K703" s="237">
        <v>4100</v>
      </c>
      <c r="L703" s="237"/>
      <c r="M703" s="237"/>
      <c r="N703" s="239">
        <v>4068.411</v>
      </c>
      <c r="O703" s="239"/>
      <c r="P703" s="239">
        <f t="shared" si="297"/>
        <v>4068.411</v>
      </c>
      <c r="Q703" s="505">
        <v>4068.411</v>
      </c>
      <c r="R703" s="307"/>
      <c r="S703" s="307"/>
      <c r="T703" s="307"/>
      <c r="U703" s="306"/>
      <c r="V703" s="540"/>
      <c r="W703" s="540"/>
      <c r="X703" s="540"/>
      <c r="Y703" s="540"/>
      <c r="Z703" s="540"/>
      <c r="AA703" s="540"/>
      <c r="AB703" s="540"/>
      <c r="AC703" s="540"/>
      <c r="AD703" s="540"/>
      <c r="AE703" s="540"/>
      <c r="AF703" s="540"/>
      <c r="AG703" s="540"/>
      <c r="AH703" s="540"/>
      <c r="AI703" s="540"/>
      <c r="AJ703" s="540"/>
      <c r="AK703" s="540"/>
      <c r="AL703" s="538"/>
      <c r="AM703" s="538"/>
      <c r="AN703" s="541"/>
    </row>
    <row r="704" spans="1:40" s="542" customFormat="1" ht="19.5" customHeight="1">
      <c r="A704" s="263"/>
      <c r="B704" s="478" t="s">
        <v>543</v>
      </c>
      <c r="C704" s="502" t="s">
        <v>1267</v>
      </c>
      <c r="D704" s="502"/>
      <c r="E704" s="503"/>
      <c r="F704" s="504"/>
      <c r="G704" s="504"/>
      <c r="H704" s="504"/>
      <c r="I704" s="237">
        <v>2730</v>
      </c>
      <c r="J704" s="237"/>
      <c r="K704" s="237">
        <v>2730</v>
      </c>
      <c r="L704" s="237"/>
      <c r="M704" s="237"/>
      <c r="N704" s="239">
        <v>2518.607</v>
      </c>
      <c r="O704" s="239"/>
      <c r="P704" s="239">
        <f t="shared" si="297"/>
        <v>2518.607</v>
      </c>
      <c r="Q704" s="505">
        <v>2518.607</v>
      </c>
      <c r="R704" s="307"/>
      <c r="S704" s="307"/>
      <c r="T704" s="307"/>
      <c r="U704" s="306"/>
      <c r="V704" s="540"/>
      <c r="W704" s="540"/>
      <c r="X704" s="540"/>
      <c r="Y704" s="540"/>
      <c r="Z704" s="540"/>
      <c r="AA704" s="540"/>
      <c r="AB704" s="540"/>
      <c r="AC704" s="540"/>
      <c r="AD704" s="540"/>
      <c r="AE704" s="540"/>
      <c r="AF704" s="540"/>
      <c r="AG704" s="540"/>
      <c r="AH704" s="540"/>
      <c r="AI704" s="540"/>
      <c r="AJ704" s="540"/>
      <c r="AK704" s="540"/>
      <c r="AL704" s="538"/>
      <c r="AM704" s="538"/>
      <c r="AN704" s="541"/>
    </row>
    <row r="705" spans="1:40" s="542" customFormat="1" ht="19.5" customHeight="1">
      <c r="A705" s="263"/>
      <c r="B705" s="478" t="s">
        <v>544</v>
      </c>
      <c r="C705" s="502" t="s">
        <v>1267</v>
      </c>
      <c r="D705" s="502"/>
      <c r="E705" s="503"/>
      <c r="F705" s="504"/>
      <c r="G705" s="504"/>
      <c r="H705" s="504"/>
      <c r="I705" s="237">
        <v>1190</v>
      </c>
      <c r="J705" s="237"/>
      <c r="K705" s="237">
        <v>1190</v>
      </c>
      <c r="L705" s="237"/>
      <c r="M705" s="237"/>
      <c r="N705" s="239">
        <v>1188.738</v>
      </c>
      <c r="O705" s="239"/>
      <c r="P705" s="239">
        <f t="shared" si="297"/>
        <v>1188.738</v>
      </c>
      <c r="Q705" s="505">
        <v>1188.738</v>
      </c>
      <c r="R705" s="307"/>
      <c r="S705" s="307"/>
      <c r="T705" s="307"/>
      <c r="U705" s="306"/>
      <c r="V705" s="540"/>
      <c r="W705" s="540"/>
      <c r="X705" s="540"/>
      <c r="Y705" s="540"/>
      <c r="Z705" s="540"/>
      <c r="AA705" s="540"/>
      <c r="AB705" s="540"/>
      <c r="AC705" s="540"/>
      <c r="AD705" s="540"/>
      <c r="AE705" s="540"/>
      <c r="AF705" s="540"/>
      <c r="AG705" s="540"/>
      <c r="AH705" s="540"/>
      <c r="AI705" s="540"/>
      <c r="AJ705" s="540"/>
      <c r="AK705" s="540"/>
      <c r="AL705" s="538"/>
      <c r="AM705" s="538"/>
      <c r="AN705" s="541"/>
    </row>
    <row r="706" spans="1:40" s="542" customFormat="1" ht="19.5" customHeight="1">
      <c r="A706" s="263"/>
      <c r="B706" s="478" t="s">
        <v>545</v>
      </c>
      <c r="C706" s="502" t="s">
        <v>1267</v>
      </c>
      <c r="D706" s="502"/>
      <c r="E706" s="503"/>
      <c r="F706" s="504"/>
      <c r="G706" s="504"/>
      <c r="H706" s="504"/>
      <c r="I706" s="237">
        <v>1050</v>
      </c>
      <c r="J706" s="237"/>
      <c r="K706" s="237">
        <v>1050</v>
      </c>
      <c r="L706" s="237"/>
      <c r="M706" s="237"/>
      <c r="N706" s="239">
        <v>983.232</v>
      </c>
      <c r="O706" s="239"/>
      <c r="P706" s="239">
        <f t="shared" si="297"/>
        <v>983.232</v>
      </c>
      <c r="Q706" s="505">
        <v>983.232</v>
      </c>
      <c r="R706" s="307"/>
      <c r="S706" s="307"/>
      <c r="T706" s="307"/>
      <c r="U706" s="306"/>
      <c r="V706" s="540"/>
      <c r="W706" s="540"/>
      <c r="X706" s="540"/>
      <c r="Y706" s="540"/>
      <c r="Z706" s="540"/>
      <c r="AA706" s="540"/>
      <c r="AB706" s="540"/>
      <c r="AC706" s="540"/>
      <c r="AD706" s="540"/>
      <c r="AE706" s="540"/>
      <c r="AF706" s="540"/>
      <c r="AG706" s="540"/>
      <c r="AH706" s="540"/>
      <c r="AI706" s="540"/>
      <c r="AJ706" s="540"/>
      <c r="AK706" s="540"/>
      <c r="AL706" s="538"/>
      <c r="AM706" s="538"/>
      <c r="AN706" s="541"/>
    </row>
    <row r="707" spans="1:40" s="542" customFormat="1" ht="19.5" customHeight="1">
      <c r="A707" s="263"/>
      <c r="B707" s="478" t="s">
        <v>546</v>
      </c>
      <c r="C707" s="502" t="s">
        <v>1267</v>
      </c>
      <c r="D707" s="502"/>
      <c r="E707" s="503"/>
      <c r="F707" s="504"/>
      <c r="G707" s="504"/>
      <c r="H707" s="504"/>
      <c r="I707" s="237">
        <v>1155</v>
      </c>
      <c r="J707" s="237"/>
      <c r="K707" s="237">
        <v>1155</v>
      </c>
      <c r="L707" s="237"/>
      <c r="M707" s="237"/>
      <c r="N707" s="239">
        <v>1076.146</v>
      </c>
      <c r="O707" s="239"/>
      <c r="P707" s="239">
        <f t="shared" si="297"/>
        <v>1076.146</v>
      </c>
      <c r="Q707" s="505">
        <v>1076.146</v>
      </c>
      <c r="R707" s="307"/>
      <c r="S707" s="307"/>
      <c r="T707" s="307"/>
      <c r="U707" s="306"/>
      <c r="V707" s="540"/>
      <c r="W707" s="540"/>
      <c r="X707" s="540"/>
      <c r="Y707" s="540"/>
      <c r="Z707" s="540"/>
      <c r="AA707" s="540"/>
      <c r="AB707" s="540"/>
      <c r="AC707" s="540"/>
      <c r="AD707" s="540"/>
      <c r="AE707" s="540"/>
      <c r="AF707" s="540"/>
      <c r="AG707" s="540"/>
      <c r="AH707" s="540"/>
      <c r="AI707" s="540"/>
      <c r="AJ707" s="540"/>
      <c r="AK707" s="540"/>
      <c r="AL707" s="538"/>
      <c r="AM707" s="538"/>
      <c r="AN707" s="541"/>
    </row>
    <row r="708" spans="1:40" s="542" customFormat="1" ht="19.5" customHeight="1">
      <c r="A708" s="263"/>
      <c r="B708" s="478" t="s">
        <v>566</v>
      </c>
      <c r="C708" s="502" t="s">
        <v>1267</v>
      </c>
      <c r="D708" s="502"/>
      <c r="E708" s="503"/>
      <c r="F708" s="504"/>
      <c r="G708" s="504"/>
      <c r="H708" s="504"/>
      <c r="I708" s="237">
        <v>1225</v>
      </c>
      <c r="J708" s="237"/>
      <c r="K708" s="237">
        <v>1225</v>
      </c>
      <c r="L708" s="237"/>
      <c r="M708" s="237"/>
      <c r="N708" s="239">
        <v>940.757</v>
      </c>
      <c r="O708" s="239"/>
      <c r="P708" s="239">
        <f t="shared" si="297"/>
        <v>940.757</v>
      </c>
      <c r="Q708" s="505">
        <v>940.757</v>
      </c>
      <c r="R708" s="307"/>
      <c r="S708" s="307"/>
      <c r="T708" s="307"/>
      <c r="U708" s="306"/>
      <c r="V708" s="540"/>
      <c r="W708" s="540"/>
      <c r="X708" s="540"/>
      <c r="Y708" s="540"/>
      <c r="Z708" s="540"/>
      <c r="AA708" s="540"/>
      <c r="AB708" s="540"/>
      <c r="AC708" s="540"/>
      <c r="AD708" s="540"/>
      <c r="AE708" s="540"/>
      <c r="AF708" s="540"/>
      <c r="AG708" s="540"/>
      <c r="AH708" s="540"/>
      <c r="AI708" s="540"/>
      <c r="AJ708" s="540"/>
      <c r="AK708" s="540"/>
      <c r="AL708" s="538"/>
      <c r="AM708" s="538"/>
      <c r="AN708" s="541"/>
    </row>
    <row r="709" spans="1:40" s="542" customFormat="1" ht="19.5" customHeight="1">
      <c r="A709" s="263"/>
      <c r="B709" s="478" t="s">
        <v>567</v>
      </c>
      <c r="C709" s="502" t="s">
        <v>1267</v>
      </c>
      <c r="D709" s="502"/>
      <c r="E709" s="503"/>
      <c r="F709" s="504"/>
      <c r="G709" s="504"/>
      <c r="H709" s="504"/>
      <c r="I709" s="237"/>
      <c r="J709" s="237"/>
      <c r="K709" s="237"/>
      <c r="L709" s="237"/>
      <c r="M709" s="237"/>
      <c r="N709" s="239">
        <f aca="true" t="shared" si="298" ref="N709:N714">SUM(P709,U709)</f>
        <v>1437.02</v>
      </c>
      <c r="O709" s="239"/>
      <c r="P709" s="239">
        <f t="shared" si="297"/>
        <v>1437.02</v>
      </c>
      <c r="Q709" s="505">
        <v>1437.02</v>
      </c>
      <c r="R709" s="307"/>
      <c r="S709" s="307"/>
      <c r="T709" s="307"/>
      <c r="U709" s="306"/>
      <c r="V709" s="540"/>
      <c r="W709" s="540"/>
      <c r="X709" s="540"/>
      <c r="Y709" s="540"/>
      <c r="Z709" s="540"/>
      <c r="AA709" s="540"/>
      <c r="AB709" s="540"/>
      <c r="AC709" s="540"/>
      <c r="AD709" s="540"/>
      <c r="AE709" s="540"/>
      <c r="AF709" s="540"/>
      <c r="AG709" s="540"/>
      <c r="AH709" s="540"/>
      <c r="AI709" s="540"/>
      <c r="AJ709" s="540"/>
      <c r="AK709" s="540"/>
      <c r="AL709" s="538"/>
      <c r="AM709" s="538"/>
      <c r="AN709" s="541"/>
    </row>
    <row r="710" spans="1:40" s="542" customFormat="1" ht="19.5" customHeight="1">
      <c r="A710" s="263"/>
      <c r="B710" s="478" t="s">
        <v>568</v>
      </c>
      <c r="C710" s="502" t="s">
        <v>569</v>
      </c>
      <c r="D710" s="502"/>
      <c r="E710" s="503"/>
      <c r="F710" s="504"/>
      <c r="G710" s="504"/>
      <c r="H710" s="504"/>
      <c r="I710" s="237">
        <v>13375.619999999999</v>
      </c>
      <c r="J710" s="237">
        <v>4075.62</v>
      </c>
      <c r="K710" s="237">
        <v>13375.62</v>
      </c>
      <c r="L710" s="237"/>
      <c r="M710" s="237"/>
      <c r="N710" s="239">
        <f t="shared" si="298"/>
        <v>11375.62</v>
      </c>
      <c r="O710" s="239">
        <v>4000</v>
      </c>
      <c r="P710" s="239">
        <f t="shared" si="297"/>
        <v>11375.62</v>
      </c>
      <c r="Q710" s="505">
        <v>9375.62</v>
      </c>
      <c r="R710" s="307">
        <v>2000</v>
      </c>
      <c r="S710" s="307"/>
      <c r="T710" s="307"/>
      <c r="U710" s="306"/>
      <c r="V710" s="540"/>
      <c r="W710" s="540"/>
      <c r="X710" s="540"/>
      <c r="Y710" s="540"/>
      <c r="Z710" s="540"/>
      <c r="AA710" s="540"/>
      <c r="AB710" s="540"/>
      <c r="AC710" s="540"/>
      <c r="AD710" s="540"/>
      <c r="AE710" s="540"/>
      <c r="AF710" s="540"/>
      <c r="AG710" s="540"/>
      <c r="AH710" s="540"/>
      <c r="AI710" s="540"/>
      <c r="AJ710" s="540"/>
      <c r="AK710" s="540"/>
      <c r="AL710" s="538"/>
      <c r="AM710" s="538"/>
      <c r="AN710" s="541"/>
    </row>
    <row r="711" spans="1:40" s="542" customFormat="1" ht="19.5" customHeight="1">
      <c r="A711" s="263"/>
      <c r="B711" s="478" t="s">
        <v>570</v>
      </c>
      <c r="C711" s="502" t="s">
        <v>1267</v>
      </c>
      <c r="D711" s="502"/>
      <c r="E711" s="503"/>
      <c r="F711" s="504"/>
      <c r="G711" s="504"/>
      <c r="H711" s="504"/>
      <c r="I711" s="237">
        <v>4200</v>
      </c>
      <c r="J711" s="237"/>
      <c r="K711" s="237">
        <v>4200</v>
      </c>
      <c r="L711" s="237"/>
      <c r="M711" s="237"/>
      <c r="N711" s="239">
        <f t="shared" si="298"/>
        <v>4200</v>
      </c>
      <c r="O711" s="239"/>
      <c r="P711" s="239">
        <f t="shared" si="297"/>
        <v>4200</v>
      </c>
      <c r="Q711" s="505">
        <v>4200</v>
      </c>
      <c r="R711" s="307"/>
      <c r="S711" s="307"/>
      <c r="T711" s="307"/>
      <c r="U711" s="306"/>
      <c r="V711" s="540"/>
      <c r="W711" s="540"/>
      <c r="X711" s="540"/>
      <c r="Y711" s="540"/>
      <c r="Z711" s="540"/>
      <c r="AA711" s="540"/>
      <c r="AB711" s="540"/>
      <c r="AC711" s="540"/>
      <c r="AD711" s="540"/>
      <c r="AE711" s="540"/>
      <c r="AF711" s="540"/>
      <c r="AG711" s="540"/>
      <c r="AH711" s="540"/>
      <c r="AI711" s="540"/>
      <c r="AJ711" s="540"/>
      <c r="AK711" s="540"/>
      <c r="AL711" s="538"/>
      <c r="AM711" s="538"/>
      <c r="AN711" s="541"/>
    </row>
    <row r="712" spans="1:40" s="542" customFormat="1" ht="19.5" customHeight="1">
      <c r="A712" s="263"/>
      <c r="B712" s="478" t="s">
        <v>571</v>
      </c>
      <c r="C712" s="502" t="s">
        <v>1267</v>
      </c>
      <c r="D712" s="502"/>
      <c r="E712" s="503"/>
      <c r="F712" s="504"/>
      <c r="G712" s="504"/>
      <c r="H712" s="504"/>
      <c r="I712" s="237">
        <v>14000</v>
      </c>
      <c r="J712" s="237"/>
      <c r="K712" s="237">
        <v>14000</v>
      </c>
      <c r="L712" s="237"/>
      <c r="M712" s="237"/>
      <c r="N712" s="239">
        <f t="shared" si="298"/>
        <v>14000</v>
      </c>
      <c r="O712" s="239"/>
      <c r="P712" s="239">
        <f t="shared" si="297"/>
        <v>14000</v>
      </c>
      <c r="Q712" s="505">
        <v>14000</v>
      </c>
      <c r="R712" s="307"/>
      <c r="S712" s="307"/>
      <c r="T712" s="307"/>
      <c r="U712" s="306"/>
      <c r="V712" s="540"/>
      <c r="W712" s="540"/>
      <c r="X712" s="540"/>
      <c r="Y712" s="540"/>
      <c r="Z712" s="540"/>
      <c r="AA712" s="540"/>
      <c r="AB712" s="540"/>
      <c r="AC712" s="540"/>
      <c r="AD712" s="540"/>
      <c r="AE712" s="540"/>
      <c r="AF712" s="540"/>
      <c r="AG712" s="540"/>
      <c r="AH712" s="540"/>
      <c r="AI712" s="540"/>
      <c r="AJ712" s="540"/>
      <c r="AK712" s="540"/>
      <c r="AL712" s="538"/>
      <c r="AM712" s="538"/>
      <c r="AN712" s="541"/>
    </row>
    <row r="713" spans="1:40" s="542" customFormat="1" ht="19.5" customHeight="1">
      <c r="A713" s="533"/>
      <c r="B713" s="543" t="s">
        <v>572</v>
      </c>
      <c r="C713" s="544" t="s">
        <v>1267</v>
      </c>
      <c r="D713" s="545"/>
      <c r="E713" s="546"/>
      <c r="F713" s="547"/>
      <c r="G713" s="547"/>
      <c r="H713" s="547"/>
      <c r="I713" s="548"/>
      <c r="J713" s="548"/>
      <c r="K713" s="548"/>
      <c r="L713" s="548"/>
      <c r="M713" s="549"/>
      <c r="N713" s="239">
        <f t="shared" si="298"/>
        <v>2631.93</v>
      </c>
      <c r="O713" s="548"/>
      <c r="P713" s="548">
        <v>2631.93</v>
      </c>
      <c r="Q713" s="548"/>
      <c r="R713" s="548"/>
      <c r="S713" s="548"/>
      <c r="T713" s="548"/>
      <c r="U713" s="547"/>
      <c r="V713" s="540"/>
      <c r="W713" s="540"/>
      <c r="X713" s="540"/>
      <c r="Y713" s="540"/>
      <c r="Z713" s="540"/>
      <c r="AA713" s="540"/>
      <c r="AB713" s="540"/>
      <c r="AC713" s="540"/>
      <c r="AD713" s="540"/>
      <c r="AE713" s="540"/>
      <c r="AF713" s="540"/>
      <c r="AG713" s="540"/>
      <c r="AH713" s="540"/>
      <c r="AI713" s="540"/>
      <c r="AJ713" s="540"/>
      <c r="AK713" s="540"/>
      <c r="AL713" s="538"/>
      <c r="AM713" s="538"/>
      <c r="AN713" s="541"/>
    </row>
    <row r="714" spans="1:40" s="542" customFormat="1" ht="19.5" customHeight="1">
      <c r="A714" s="533"/>
      <c r="B714" s="543" t="s">
        <v>573</v>
      </c>
      <c r="C714" s="535"/>
      <c r="D714" s="536"/>
      <c r="E714" s="537"/>
      <c r="F714" s="538"/>
      <c r="G714" s="538"/>
      <c r="H714" s="538"/>
      <c r="I714" s="539"/>
      <c r="J714" s="539"/>
      <c r="K714" s="539"/>
      <c r="L714" s="539"/>
      <c r="M714" s="540"/>
      <c r="N714" s="239">
        <f t="shared" si="298"/>
        <v>227.68</v>
      </c>
      <c r="O714" s="539"/>
      <c r="P714" s="548">
        <v>227.68</v>
      </c>
      <c r="Q714" s="539"/>
      <c r="R714" s="539"/>
      <c r="S714" s="539"/>
      <c r="T714" s="539"/>
      <c r="U714" s="538"/>
      <c r="V714" s="540"/>
      <c r="W714" s="540"/>
      <c r="X714" s="540"/>
      <c r="Y714" s="540"/>
      <c r="Z714" s="540"/>
      <c r="AA714" s="540"/>
      <c r="AB714" s="540"/>
      <c r="AC714" s="540"/>
      <c r="AD714" s="540"/>
      <c r="AE714" s="540"/>
      <c r="AF714" s="540"/>
      <c r="AG714" s="540"/>
      <c r="AH714" s="540"/>
      <c r="AI714" s="540"/>
      <c r="AJ714" s="540"/>
      <c r="AK714" s="540"/>
      <c r="AL714" s="538"/>
      <c r="AM714" s="538"/>
      <c r="AN714" s="541"/>
    </row>
    <row r="715" spans="1:40" s="542" customFormat="1" ht="19.5" customHeight="1">
      <c r="A715" s="533" t="s">
        <v>574</v>
      </c>
      <c r="B715" s="498" t="s">
        <v>575</v>
      </c>
      <c r="C715" s="535"/>
      <c r="D715" s="536"/>
      <c r="E715" s="537"/>
      <c r="F715" s="538"/>
      <c r="G715" s="538"/>
      <c r="H715" s="538"/>
      <c r="I715" s="539">
        <f>SUM(I716,I857)</f>
        <v>137535.74577699997</v>
      </c>
      <c r="J715" s="539">
        <f aca="true" t="shared" si="299" ref="J715:U715">SUM(J716,J857)</f>
        <v>13788.413</v>
      </c>
      <c r="K715" s="539">
        <f t="shared" si="299"/>
        <v>117374.02977699999</v>
      </c>
      <c r="L715" s="539">
        <f t="shared" si="299"/>
        <v>0</v>
      </c>
      <c r="M715" s="539">
        <f t="shared" si="299"/>
        <v>20161.716</v>
      </c>
      <c r="N715" s="539">
        <f t="shared" si="299"/>
        <v>132334.884112</v>
      </c>
      <c r="O715" s="539">
        <f t="shared" si="299"/>
        <v>10722.856</v>
      </c>
      <c r="P715" s="539">
        <f t="shared" si="299"/>
        <v>112466.945112</v>
      </c>
      <c r="Q715" s="539">
        <f t="shared" si="299"/>
        <v>104219.19511200002</v>
      </c>
      <c r="R715" s="539">
        <f t="shared" si="299"/>
        <v>8247.75</v>
      </c>
      <c r="S715" s="539">
        <f t="shared" si="299"/>
        <v>0</v>
      </c>
      <c r="T715" s="539">
        <f t="shared" si="299"/>
        <v>0</v>
      </c>
      <c r="U715" s="539">
        <f t="shared" si="299"/>
        <v>19867.939</v>
      </c>
      <c r="V715" s="540"/>
      <c r="W715" s="540"/>
      <c r="X715" s="540"/>
      <c r="Y715" s="540"/>
      <c r="Z715" s="540"/>
      <c r="AA715" s="540"/>
      <c r="AB715" s="540"/>
      <c r="AC715" s="540"/>
      <c r="AD715" s="540"/>
      <c r="AE715" s="540"/>
      <c r="AF715" s="540"/>
      <c r="AG715" s="540"/>
      <c r="AH715" s="540"/>
      <c r="AI715" s="540"/>
      <c r="AJ715" s="540"/>
      <c r="AK715" s="540"/>
      <c r="AL715" s="538"/>
      <c r="AM715" s="538"/>
      <c r="AN715" s="541"/>
    </row>
    <row r="716" spans="1:41" s="550" customFormat="1" ht="19.5" customHeight="1">
      <c r="A716" s="275" t="s">
        <v>1253</v>
      </c>
      <c r="B716" s="498" t="s">
        <v>575</v>
      </c>
      <c r="C716" s="508"/>
      <c r="D716" s="508"/>
      <c r="E716" s="509"/>
      <c r="F716" s="510"/>
      <c r="G716" s="510"/>
      <c r="H716" s="510"/>
      <c r="I716" s="282">
        <f>SUM(I717:I856)</f>
        <v>117374.02977699999</v>
      </c>
      <c r="J716" s="282">
        <f aca="true" t="shared" si="300" ref="J716:AO716">SUM(J717:J856)</f>
        <v>11626.697</v>
      </c>
      <c r="K716" s="282">
        <f t="shared" si="300"/>
        <v>117374.02977699999</v>
      </c>
      <c r="L716" s="282">
        <f t="shared" si="300"/>
        <v>0</v>
      </c>
      <c r="M716" s="282">
        <f t="shared" si="300"/>
        <v>0</v>
      </c>
      <c r="N716" s="282">
        <f t="shared" si="300"/>
        <v>112466.945112</v>
      </c>
      <c r="O716" s="282">
        <f t="shared" si="300"/>
        <v>10626.697</v>
      </c>
      <c r="P716" s="282">
        <f t="shared" si="300"/>
        <v>112466.945112</v>
      </c>
      <c r="Q716" s="282">
        <f t="shared" si="300"/>
        <v>104219.19511200002</v>
      </c>
      <c r="R716" s="282">
        <f t="shared" si="300"/>
        <v>8247.75</v>
      </c>
      <c r="S716" s="282">
        <f t="shared" si="300"/>
        <v>0</v>
      </c>
      <c r="T716" s="282">
        <f t="shared" si="300"/>
        <v>0</v>
      </c>
      <c r="U716" s="282">
        <f t="shared" si="300"/>
        <v>0</v>
      </c>
      <c r="V716" s="282">
        <f t="shared" si="300"/>
        <v>0</v>
      </c>
      <c r="W716" s="282">
        <f t="shared" si="300"/>
        <v>0</v>
      </c>
      <c r="X716" s="282">
        <f t="shared" si="300"/>
        <v>0</v>
      </c>
      <c r="Y716" s="282">
        <f t="shared" si="300"/>
        <v>0</v>
      </c>
      <c r="Z716" s="282">
        <f t="shared" si="300"/>
        <v>0</v>
      </c>
      <c r="AA716" s="282">
        <f t="shared" si="300"/>
        <v>0</v>
      </c>
      <c r="AB716" s="282">
        <f t="shared" si="300"/>
        <v>0</v>
      </c>
      <c r="AC716" s="282">
        <f t="shared" si="300"/>
        <v>0</v>
      </c>
      <c r="AD716" s="282">
        <f t="shared" si="300"/>
        <v>0</v>
      </c>
      <c r="AE716" s="282">
        <f t="shared" si="300"/>
        <v>0</v>
      </c>
      <c r="AF716" s="282">
        <f t="shared" si="300"/>
        <v>0</v>
      </c>
      <c r="AG716" s="282">
        <f t="shared" si="300"/>
        <v>0</v>
      </c>
      <c r="AH716" s="282">
        <f t="shared" si="300"/>
        <v>0</v>
      </c>
      <c r="AI716" s="282">
        <f t="shared" si="300"/>
        <v>0</v>
      </c>
      <c r="AJ716" s="282">
        <f t="shared" si="300"/>
        <v>0</v>
      </c>
      <c r="AK716" s="282">
        <f t="shared" si="300"/>
        <v>0</v>
      </c>
      <c r="AL716" s="282">
        <f t="shared" si="300"/>
        <v>0</v>
      </c>
      <c r="AM716" s="282">
        <f t="shared" si="300"/>
        <v>0</v>
      </c>
      <c r="AN716" s="282">
        <f t="shared" si="300"/>
        <v>0</v>
      </c>
      <c r="AO716" s="282">
        <f t="shared" si="300"/>
        <v>0</v>
      </c>
    </row>
    <row r="717" spans="1:40" s="506" customFormat="1" ht="19.5" customHeight="1">
      <c r="A717" s="263"/>
      <c r="B717" s="478" t="s">
        <v>576</v>
      </c>
      <c r="C717" s="502" t="s">
        <v>1341</v>
      </c>
      <c r="D717" s="502"/>
      <c r="E717" s="503"/>
      <c r="F717" s="504"/>
      <c r="G717" s="504"/>
      <c r="H717" s="504"/>
      <c r="I717" s="237"/>
      <c r="J717" s="237"/>
      <c r="K717" s="237"/>
      <c r="L717" s="237"/>
      <c r="M717" s="237"/>
      <c r="N717" s="239">
        <v>200</v>
      </c>
      <c r="O717" s="239"/>
      <c r="P717" s="239">
        <f>SUM(Q717:S717)</f>
        <v>200</v>
      </c>
      <c r="Q717" s="505">
        <v>200</v>
      </c>
      <c r="R717" s="307"/>
      <c r="S717" s="307"/>
      <c r="T717" s="307"/>
      <c r="U717" s="306"/>
      <c r="V717" s="240"/>
      <c r="W717" s="240"/>
      <c r="X717" s="240"/>
      <c r="Y717" s="240"/>
      <c r="Z717" s="308"/>
      <c r="AA717" s="308"/>
      <c r="AB717" s="241"/>
      <c r="AC717" s="242"/>
      <c r="AD717" s="259"/>
      <c r="AE717" s="308"/>
      <c r="AF717" s="308"/>
      <c r="AG717" s="240"/>
      <c r="AH717" s="240"/>
      <c r="AI717" s="240"/>
      <c r="AJ717" s="240"/>
      <c r="AK717" s="308"/>
      <c r="AL717" s="244"/>
      <c r="AM717" s="236"/>
      <c r="AN717" s="378"/>
    </row>
    <row r="718" spans="1:40" s="506" customFormat="1" ht="19.5" customHeight="1">
      <c r="A718" s="263"/>
      <c r="B718" s="478" t="s">
        <v>577</v>
      </c>
      <c r="C718" s="502" t="s">
        <v>1283</v>
      </c>
      <c r="D718" s="502"/>
      <c r="E718" s="503"/>
      <c r="F718" s="504"/>
      <c r="G718" s="504"/>
      <c r="H718" s="504"/>
      <c r="I718" s="237">
        <v>1443.709</v>
      </c>
      <c r="J718" s="237"/>
      <c r="K718" s="237">
        <v>1443.709</v>
      </c>
      <c r="L718" s="237"/>
      <c r="M718" s="237"/>
      <c r="N718" s="239">
        <v>1443.709</v>
      </c>
      <c r="O718" s="239"/>
      <c r="P718" s="239">
        <f>SUM(Q718:S718)</f>
        <v>1443.709</v>
      </c>
      <c r="Q718" s="505">
        <v>1443.709</v>
      </c>
      <c r="R718" s="307"/>
      <c r="S718" s="307"/>
      <c r="T718" s="307"/>
      <c r="U718" s="306"/>
      <c r="V718" s="240"/>
      <c r="W718" s="240"/>
      <c r="X718" s="240"/>
      <c r="Y718" s="240"/>
      <c r="Z718" s="308"/>
      <c r="AA718" s="308"/>
      <c r="AB718" s="241"/>
      <c r="AC718" s="242"/>
      <c r="AD718" s="259"/>
      <c r="AE718" s="308"/>
      <c r="AF718" s="308"/>
      <c r="AG718" s="240"/>
      <c r="AH718" s="240"/>
      <c r="AI718" s="240"/>
      <c r="AJ718" s="240"/>
      <c r="AK718" s="308"/>
      <c r="AL718" s="244"/>
      <c r="AM718" s="236"/>
      <c r="AN718" s="378"/>
    </row>
    <row r="719" spans="1:40" s="506" customFormat="1" ht="19.5" customHeight="1">
      <c r="A719" s="263"/>
      <c r="B719" s="478" t="s">
        <v>578</v>
      </c>
      <c r="C719" s="502" t="s">
        <v>1267</v>
      </c>
      <c r="D719" s="502"/>
      <c r="E719" s="503"/>
      <c r="F719" s="504"/>
      <c r="G719" s="504"/>
      <c r="H719" s="504"/>
      <c r="I719" s="237">
        <v>1.875</v>
      </c>
      <c r="J719" s="237"/>
      <c r="K719" s="237">
        <v>1.875</v>
      </c>
      <c r="L719" s="237"/>
      <c r="M719" s="237"/>
      <c r="N719" s="239">
        <v>1.875</v>
      </c>
      <c r="O719" s="239"/>
      <c r="P719" s="239">
        <f aca="true" t="shared" si="301" ref="P719:P748">SUM(Q719:S719)</f>
        <v>1.875</v>
      </c>
      <c r="Q719" s="505">
        <v>1.875</v>
      </c>
      <c r="R719" s="307"/>
      <c r="S719" s="307"/>
      <c r="T719" s="307"/>
      <c r="U719" s="306"/>
      <c r="V719" s="240"/>
      <c r="W719" s="240"/>
      <c r="X719" s="240"/>
      <c r="Y719" s="240"/>
      <c r="Z719" s="308"/>
      <c r="AA719" s="308"/>
      <c r="AB719" s="241"/>
      <c r="AC719" s="242"/>
      <c r="AD719" s="259"/>
      <c r="AE719" s="308"/>
      <c r="AF719" s="308"/>
      <c r="AG719" s="240"/>
      <c r="AH719" s="240"/>
      <c r="AI719" s="240"/>
      <c r="AJ719" s="240"/>
      <c r="AK719" s="308"/>
      <c r="AL719" s="244"/>
      <c r="AM719" s="236"/>
      <c r="AN719" s="378"/>
    </row>
    <row r="720" spans="1:40" s="506" customFormat="1" ht="19.5" customHeight="1">
      <c r="A720" s="263"/>
      <c r="B720" s="478" t="s">
        <v>579</v>
      </c>
      <c r="C720" s="502" t="s">
        <v>1267</v>
      </c>
      <c r="D720" s="502"/>
      <c r="E720" s="503"/>
      <c r="F720" s="504"/>
      <c r="G720" s="504"/>
      <c r="H720" s="504"/>
      <c r="I720" s="237">
        <v>16.007</v>
      </c>
      <c r="J720" s="237"/>
      <c r="K720" s="237">
        <v>16.007</v>
      </c>
      <c r="L720" s="237"/>
      <c r="M720" s="237"/>
      <c r="N720" s="239">
        <v>16.007</v>
      </c>
      <c r="O720" s="239"/>
      <c r="P720" s="239">
        <f t="shared" si="301"/>
        <v>16.007</v>
      </c>
      <c r="Q720" s="505">
        <v>16.007</v>
      </c>
      <c r="R720" s="307"/>
      <c r="S720" s="307"/>
      <c r="T720" s="307"/>
      <c r="U720" s="306"/>
      <c r="V720" s="240"/>
      <c r="W720" s="240"/>
      <c r="X720" s="240"/>
      <c r="Y720" s="240"/>
      <c r="Z720" s="308"/>
      <c r="AA720" s="308"/>
      <c r="AB720" s="241"/>
      <c r="AC720" s="242"/>
      <c r="AD720" s="259"/>
      <c r="AE720" s="308"/>
      <c r="AF720" s="308"/>
      <c r="AG720" s="240"/>
      <c r="AH720" s="240"/>
      <c r="AI720" s="240"/>
      <c r="AJ720" s="240"/>
      <c r="AK720" s="308"/>
      <c r="AL720" s="244"/>
      <c r="AM720" s="236"/>
      <c r="AN720" s="378"/>
    </row>
    <row r="721" spans="1:40" s="506" customFormat="1" ht="19.5" customHeight="1">
      <c r="A721" s="263"/>
      <c r="B721" s="478" t="s">
        <v>580</v>
      </c>
      <c r="C721" s="502" t="s">
        <v>1267</v>
      </c>
      <c r="D721" s="502"/>
      <c r="E721" s="503"/>
      <c r="F721" s="504"/>
      <c r="G721" s="504"/>
      <c r="H721" s="504"/>
      <c r="I721" s="237">
        <v>17.198</v>
      </c>
      <c r="J721" s="237"/>
      <c r="K721" s="237">
        <v>17.198</v>
      </c>
      <c r="L721" s="237"/>
      <c r="M721" s="237"/>
      <c r="N721" s="239">
        <v>17.198</v>
      </c>
      <c r="O721" s="239"/>
      <c r="P721" s="239">
        <f t="shared" si="301"/>
        <v>17.198</v>
      </c>
      <c r="Q721" s="505">
        <v>17.198</v>
      </c>
      <c r="R721" s="307"/>
      <c r="S721" s="307"/>
      <c r="T721" s="307"/>
      <c r="U721" s="306"/>
      <c r="V721" s="240"/>
      <c r="W721" s="240"/>
      <c r="X721" s="240"/>
      <c r="Y721" s="240"/>
      <c r="Z721" s="308"/>
      <c r="AA721" s="308"/>
      <c r="AB721" s="241"/>
      <c r="AC721" s="242"/>
      <c r="AD721" s="259"/>
      <c r="AE721" s="308"/>
      <c r="AF721" s="308"/>
      <c r="AG721" s="240"/>
      <c r="AH721" s="240"/>
      <c r="AI721" s="240"/>
      <c r="AJ721" s="240"/>
      <c r="AK721" s="308"/>
      <c r="AL721" s="244"/>
      <c r="AM721" s="236"/>
      <c r="AN721" s="378"/>
    </row>
    <row r="722" spans="1:40" s="506" customFormat="1" ht="19.5" customHeight="1">
      <c r="A722" s="263"/>
      <c r="B722" s="478" t="s">
        <v>581</v>
      </c>
      <c r="C722" s="502" t="s">
        <v>1267</v>
      </c>
      <c r="D722" s="502"/>
      <c r="E722" s="503"/>
      <c r="F722" s="504"/>
      <c r="G722" s="504"/>
      <c r="H722" s="504"/>
      <c r="I722" s="237">
        <v>600</v>
      </c>
      <c r="J722" s="237"/>
      <c r="K722" s="237">
        <v>600</v>
      </c>
      <c r="L722" s="237"/>
      <c r="M722" s="237"/>
      <c r="N722" s="239">
        <v>596.283744</v>
      </c>
      <c r="O722" s="239"/>
      <c r="P722" s="239">
        <f t="shared" si="301"/>
        <v>596.283744</v>
      </c>
      <c r="Q722" s="505">
        <v>596.283744</v>
      </c>
      <c r="R722" s="307"/>
      <c r="S722" s="307"/>
      <c r="T722" s="307"/>
      <c r="U722" s="306"/>
      <c r="V722" s="240"/>
      <c r="W722" s="240"/>
      <c r="X722" s="240"/>
      <c r="Y722" s="240"/>
      <c r="Z722" s="308"/>
      <c r="AA722" s="308"/>
      <c r="AB722" s="241"/>
      <c r="AC722" s="242"/>
      <c r="AD722" s="259"/>
      <c r="AE722" s="308"/>
      <c r="AF722" s="308"/>
      <c r="AG722" s="240"/>
      <c r="AH722" s="240"/>
      <c r="AI722" s="240"/>
      <c r="AJ722" s="240"/>
      <c r="AK722" s="308"/>
      <c r="AL722" s="244"/>
      <c r="AM722" s="236"/>
      <c r="AN722" s="378"/>
    </row>
    <row r="723" spans="1:40" s="506" customFormat="1" ht="19.5" customHeight="1">
      <c r="A723" s="263"/>
      <c r="B723" s="478" t="s">
        <v>582</v>
      </c>
      <c r="C723" s="502" t="s">
        <v>1267</v>
      </c>
      <c r="D723" s="502"/>
      <c r="E723" s="503"/>
      <c r="F723" s="504"/>
      <c r="G723" s="504"/>
      <c r="H723" s="504"/>
      <c r="I723" s="237">
        <v>600</v>
      </c>
      <c r="J723" s="237"/>
      <c r="K723" s="237">
        <v>600</v>
      </c>
      <c r="L723" s="237"/>
      <c r="M723" s="237"/>
      <c r="N723" s="239">
        <v>580.908368</v>
      </c>
      <c r="O723" s="239"/>
      <c r="P723" s="239">
        <f t="shared" si="301"/>
        <v>580.908368</v>
      </c>
      <c r="Q723" s="505">
        <v>580.908368</v>
      </c>
      <c r="R723" s="307"/>
      <c r="S723" s="307"/>
      <c r="T723" s="307"/>
      <c r="U723" s="306"/>
      <c r="V723" s="240"/>
      <c r="W723" s="240"/>
      <c r="X723" s="240"/>
      <c r="Y723" s="240"/>
      <c r="Z723" s="308"/>
      <c r="AA723" s="308"/>
      <c r="AB723" s="241"/>
      <c r="AC723" s="242"/>
      <c r="AD723" s="259"/>
      <c r="AE723" s="308"/>
      <c r="AF723" s="308"/>
      <c r="AG723" s="240"/>
      <c r="AH723" s="240"/>
      <c r="AI723" s="240"/>
      <c r="AJ723" s="240"/>
      <c r="AK723" s="308"/>
      <c r="AL723" s="244"/>
      <c r="AM723" s="236"/>
      <c r="AN723" s="378"/>
    </row>
    <row r="724" spans="1:40" s="506" customFormat="1" ht="19.5" customHeight="1">
      <c r="A724" s="263"/>
      <c r="B724" s="478" t="s">
        <v>583</v>
      </c>
      <c r="C724" s="502" t="s">
        <v>1267</v>
      </c>
      <c r="D724" s="502"/>
      <c r="E724" s="503"/>
      <c r="F724" s="504"/>
      <c r="G724" s="504"/>
      <c r="H724" s="504"/>
      <c r="I724" s="237">
        <v>400</v>
      </c>
      <c r="J724" s="237"/>
      <c r="K724" s="237">
        <v>400</v>
      </c>
      <c r="L724" s="237"/>
      <c r="M724" s="237"/>
      <c r="N724" s="239">
        <v>400</v>
      </c>
      <c r="O724" s="239"/>
      <c r="P724" s="239">
        <f t="shared" si="301"/>
        <v>400</v>
      </c>
      <c r="Q724" s="505">
        <v>400</v>
      </c>
      <c r="R724" s="307"/>
      <c r="S724" s="307"/>
      <c r="T724" s="307"/>
      <c r="U724" s="306"/>
      <c r="V724" s="240"/>
      <c r="W724" s="240"/>
      <c r="X724" s="240"/>
      <c r="Y724" s="240"/>
      <c r="Z724" s="308"/>
      <c r="AA724" s="308"/>
      <c r="AB724" s="241"/>
      <c r="AC724" s="242"/>
      <c r="AD724" s="259"/>
      <c r="AE724" s="308"/>
      <c r="AF724" s="308"/>
      <c r="AG724" s="240"/>
      <c r="AH724" s="240"/>
      <c r="AI724" s="240"/>
      <c r="AJ724" s="240"/>
      <c r="AK724" s="308"/>
      <c r="AL724" s="244"/>
      <c r="AM724" s="236"/>
      <c r="AN724" s="378"/>
    </row>
    <row r="725" spans="1:40" s="506" customFormat="1" ht="19.5" customHeight="1">
      <c r="A725" s="263"/>
      <c r="B725" s="478" t="s">
        <v>584</v>
      </c>
      <c r="C725" s="502" t="s">
        <v>1267</v>
      </c>
      <c r="D725" s="502"/>
      <c r="E725" s="503"/>
      <c r="F725" s="504"/>
      <c r="G725" s="504"/>
      <c r="H725" s="504"/>
      <c r="I725" s="237">
        <v>400</v>
      </c>
      <c r="J725" s="237"/>
      <c r="K725" s="237">
        <v>400</v>
      </c>
      <c r="L725" s="237"/>
      <c r="M725" s="237"/>
      <c r="N725" s="239">
        <v>400</v>
      </c>
      <c r="O725" s="239"/>
      <c r="P725" s="239">
        <f t="shared" si="301"/>
        <v>400</v>
      </c>
      <c r="Q725" s="505">
        <v>400</v>
      </c>
      <c r="R725" s="307"/>
      <c r="S725" s="307"/>
      <c r="T725" s="307"/>
      <c r="U725" s="306"/>
      <c r="V725" s="240"/>
      <c r="W725" s="240"/>
      <c r="X725" s="240"/>
      <c r="Y725" s="240"/>
      <c r="Z725" s="308"/>
      <c r="AA725" s="308"/>
      <c r="AB725" s="241"/>
      <c r="AC725" s="242"/>
      <c r="AD725" s="259"/>
      <c r="AE725" s="308"/>
      <c r="AF725" s="308"/>
      <c r="AG725" s="240"/>
      <c r="AH725" s="240"/>
      <c r="AI725" s="240"/>
      <c r="AJ725" s="240"/>
      <c r="AK725" s="308"/>
      <c r="AL725" s="244"/>
      <c r="AM725" s="236"/>
      <c r="AN725" s="378"/>
    </row>
    <row r="726" spans="1:40" s="506" customFormat="1" ht="19.5" customHeight="1">
      <c r="A726" s="263"/>
      <c r="B726" s="478" t="s">
        <v>585</v>
      </c>
      <c r="C726" s="502" t="s">
        <v>1267</v>
      </c>
      <c r="D726" s="502"/>
      <c r="E726" s="503"/>
      <c r="F726" s="504"/>
      <c r="G726" s="504"/>
      <c r="H726" s="504"/>
      <c r="I726" s="237">
        <v>194.0539</v>
      </c>
      <c r="J726" s="237"/>
      <c r="K726" s="237">
        <v>194.0539</v>
      </c>
      <c r="L726" s="237"/>
      <c r="M726" s="237"/>
      <c r="N726" s="239">
        <v>193.651</v>
      </c>
      <c r="O726" s="239"/>
      <c r="P726" s="239">
        <f t="shared" si="301"/>
        <v>193.651</v>
      </c>
      <c r="Q726" s="505">
        <v>193.651</v>
      </c>
      <c r="R726" s="307"/>
      <c r="S726" s="307"/>
      <c r="T726" s="307"/>
      <c r="U726" s="306"/>
      <c r="V726" s="240"/>
      <c r="W726" s="240"/>
      <c r="X726" s="240"/>
      <c r="Y726" s="240"/>
      <c r="Z726" s="308"/>
      <c r="AA726" s="308"/>
      <c r="AB726" s="241"/>
      <c r="AC726" s="242"/>
      <c r="AD726" s="259"/>
      <c r="AE726" s="308"/>
      <c r="AF726" s="308"/>
      <c r="AG726" s="240"/>
      <c r="AH726" s="240"/>
      <c r="AI726" s="240"/>
      <c r="AJ726" s="240"/>
      <c r="AK726" s="308"/>
      <c r="AL726" s="244"/>
      <c r="AM726" s="236"/>
      <c r="AN726" s="378"/>
    </row>
    <row r="727" spans="1:40" s="506" customFormat="1" ht="19.5" customHeight="1">
      <c r="A727" s="263"/>
      <c r="B727" s="478" t="s">
        <v>586</v>
      </c>
      <c r="C727" s="502" t="s">
        <v>1267</v>
      </c>
      <c r="D727" s="502"/>
      <c r="E727" s="503"/>
      <c r="F727" s="504"/>
      <c r="G727" s="504"/>
      <c r="H727" s="504"/>
      <c r="I727" s="237">
        <v>400</v>
      </c>
      <c r="J727" s="237"/>
      <c r="K727" s="237">
        <v>400</v>
      </c>
      <c r="L727" s="237"/>
      <c r="M727" s="237"/>
      <c r="N727" s="239">
        <v>400</v>
      </c>
      <c r="O727" s="239"/>
      <c r="P727" s="239">
        <f t="shared" si="301"/>
        <v>400</v>
      </c>
      <c r="Q727" s="505">
        <v>400</v>
      </c>
      <c r="R727" s="307"/>
      <c r="S727" s="307"/>
      <c r="T727" s="307"/>
      <c r="U727" s="306"/>
      <c r="V727" s="240"/>
      <c r="W727" s="240"/>
      <c r="X727" s="240"/>
      <c r="Y727" s="240"/>
      <c r="Z727" s="308"/>
      <c r="AA727" s="308"/>
      <c r="AB727" s="241"/>
      <c r="AC727" s="242"/>
      <c r="AD727" s="259"/>
      <c r="AE727" s="308"/>
      <c r="AF727" s="308"/>
      <c r="AG727" s="240"/>
      <c r="AH727" s="240"/>
      <c r="AI727" s="240"/>
      <c r="AJ727" s="240"/>
      <c r="AK727" s="308"/>
      <c r="AL727" s="244"/>
      <c r="AM727" s="236"/>
      <c r="AN727" s="378"/>
    </row>
    <row r="728" spans="1:40" s="506" customFormat="1" ht="19.5" customHeight="1">
      <c r="A728" s="263"/>
      <c r="B728" s="478" t="s">
        <v>587</v>
      </c>
      <c r="C728" s="502" t="s">
        <v>1267</v>
      </c>
      <c r="D728" s="502"/>
      <c r="E728" s="503"/>
      <c r="F728" s="504"/>
      <c r="G728" s="504"/>
      <c r="H728" s="504"/>
      <c r="I728" s="237">
        <v>1000</v>
      </c>
      <c r="J728" s="237"/>
      <c r="K728" s="237">
        <v>1000</v>
      </c>
      <c r="L728" s="237"/>
      <c r="M728" s="237"/>
      <c r="N728" s="239">
        <v>982.717</v>
      </c>
      <c r="O728" s="239"/>
      <c r="P728" s="239">
        <f t="shared" si="301"/>
        <v>982.717</v>
      </c>
      <c r="Q728" s="505">
        <v>982.717</v>
      </c>
      <c r="R728" s="307"/>
      <c r="S728" s="307"/>
      <c r="T728" s="307"/>
      <c r="U728" s="306"/>
      <c r="V728" s="240"/>
      <c r="W728" s="240"/>
      <c r="X728" s="240"/>
      <c r="Y728" s="240"/>
      <c r="Z728" s="308"/>
      <c r="AA728" s="308"/>
      <c r="AB728" s="241"/>
      <c r="AC728" s="242"/>
      <c r="AD728" s="259"/>
      <c r="AE728" s="308"/>
      <c r="AF728" s="308"/>
      <c r="AG728" s="240"/>
      <c r="AH728" s="240"/>
      <c r="AI728" s="240"/>
      <c r="AJ728" s="240"/>
      <c r="AK728" s="308"/>
      <c r="AL728" s="244"/>
      <c r="AM728" s="236"/>
      <c r="AN728" s="378"/>
    </row>
    <row r="729" spans="1:40" s="506" customFormat="1" ht="19.5" customHeight="1">
      <c r="A729" s="263"/>
      <c r="B729" s="478" t="s">
        <v>588</v>
      </c>
      <c r="C729" s="502" t="s">
        <v>1267</v>
      </c>
      <c r="D729" s="502"/>
      <c r="E729" s="503"/>
      <c r="F729" s="504"/>
      <c r="G729" s="504"/>
      <c r="H729" s="504"/>
      <c r="I729" s="237">
        <v>615.414563</v>
      </c>
      <c r="J729" s="237"/>
      <c r="K729" s="237">
        <v>615.414563</v>
      </c>
      <c r="L729" s="237"/>
      <c r="M729" s="237"/>
      <c r="N729" s="239">
        <v>615.414</v>
      </c>
      <c r="O729" s="239"/>
      <c r="P729" s="239">
        <f t="shared" si="301"/>
        <v>615.414</v>
      </c>
      <c r="Q729" s="505">
        <v>615.414</v>
      </c>
      <c r="R729" s="307"/>
      <c r="S729" s="307"/>
      <c r="T729" s="307"/>
      <c r="U729" s="306"/>
      <c r="V729" s="240"/>
      <c r="W729" s="240"/>
      <c r="X729" s="240"/>
      <c r="Y729" s="240"/>
      <c r="Z729" s="308"/>
      <c r="AA729" s="308"/>
      <c r="AB729" s="241"/>
      <c r="AC729" s="242"/>
      <c r="AD729" s="259"/>
      <c r="AE729" s="308"/>
      <c r="AF729" s="308"/>
      <c r="AG729" s="240"/>
      <c r="AH729" s="240"/>
      <c r="AI729" s="240"/>
      <c r="AJ729" s="240"/>
      <c r="AK729" s="308"/>
      <c r="AL729" s="244"/>
      <c r="AM729" s="236"/>
      <c r="AN729" s="378"/>
    </row>
    <row r="730" spans="1:40" s="506" customFormat="1" ht="19.5" customHeight="1">
      <c r="A730" s="263"/>
      <c r="B730" s="478" t="s">
        <v>589</v>
      </c>
      <c r="C730" s="502" t="s">
        <v>1267</v>
      </c>
      <c r="D730" s="502"/>
      <c r="E730" s="503"/>
      <c r="F730" s="504"/>
      <c r="G730" s="504"/>
      <c r="H730" s="504"/>
      <c r="I730" s="237">
        <v>991.315614</v>
      </c>
      <c r="J730" s="237"/>
      <c r="K730" s="237">
        <v>991.315614</v>
      </c>
      <c r="L730" s="237"/>
      <c r="M730" s="237"/>
      <c r="N730" s="239">
        <v>703.57</v>
      </c>
      <c r="O730" s="239"/>
      <c r="P730" s="239">
        <f t="shared" si="301"/>
        <v>703.57</v>
      </c>
      <c r="Q730" s="505">
        <v>703.57</v>
      </c>
      <c r="R730" s="307"/>
      <c r="S730" s="307"/>
      <c r="T730" s="307"/>
      <c r="U730" s="306"/>
      <c r="V730" s="240"/>
      <c r="W730" s="240"/>
      <c r="X730" s="240"/>
      <c r="Y730" s="240"/>
      <c r="Z730" s="308"/>
      <c r="AA730" s="308"/>
      <c r="AB730" s="241"/>
      <c r="AC730" s="242"/>
      <c r="AD730" s="259"/>
      <c r="AE730" s="308"/>
      <c r="AF730" s="308"/>
      <c r="AG730" s="240"/>
      <c r="AH730" s="240"/>
      <c r="AI730" s="240"/>
      <c r="AJ730" s="240"/>
      <c r="AK730" s="308"/>
      <c r="AL730" s="244"/>
      <c r="AM730" s="236"/>
      <c r="AN730" s="378"/>
    </row>
    <row r="731" spans="1:40" s="506" customFormat="1" ht="19.5" customHeight="1">
      <c r="A731" s="263"/>
      <c r="B731" s="478" t="s">
        <v>590</v>
      </c>
      <c r="C731" s="502" t="s">
        <v>1267</v>
      </c>
      <c r="D731" s="502"/>
      <c r="E731" s="503"/>
      <c r="F731" s="504"/>
      <c r="G731" s="504"/>
      <c r="H731" s="504"/>
      <c r="I731" s="237">
        <v>550</v>
      </c>
      <c r="J731" s="237"/>
      <c r="K731" s="237">
        <v>550</v>
      </c>
      <c r="L731" s="237"/>
      <c r="M731" s="237"/>
      <c r="N731" s="239">
        <v>86.676</v>
      </c>
      <c r="O731" s="239"/>
      <c r="P731" s="239">
        <f t="shared" si="301"/>
        <v>86.676</v>
      </c>
      <c r="Q731" s="505">
        <v>86.676</v>
      </c>
      <c r="R731" s="307"/>
      <c r="S731" s="307"/>
      <c r="T731" s="307"/>
      <c r="U731" s="306"/>
      <c r="V731" s="240"/>
      <c r="W731" s="240"/>
      <c r="X731" s="240"/>
      <c r="Y731" s="240"/>
      <c r="Z731" s="308"/>
      <c r="AA731" s="308"/>
      <c r="AB731" s="241"/>
      <c r="AC731" s="242"/>
      <c r="AD731" s="259"/>
      <c r="AE731" s="308"/>
      <c r="AF731" s="308"/>
      <c r="AG731" s="240"/>
      <c r="AH731" s="240"/>
      <c r="AI731" s="240"/>
      <c r="AJ731" s="240"/>
      <c r="AK731" s="308"/>
      <c r="AL731" s="244"/>
      <c r="AM731" s="236"/>
      <c r="AN731" s="378"/>
    </row>
    <row r="732" spans="1:40" s="506" customFormat="1" ht="19.5" customHeight="1">
      <c r="A732" s="263"/>
      <c r="B732" s="478" t="s">
        <v>591</v>
      </c>
      <c r="C732" s="502" t="s">
        <v>1267</v>
      </c>
      <c r="D732" s="502"/>
      <c r="E732" s="503"/>
      <c r="F732" s="504"/>
      <c r="G732" s="504"/>
      <c r="H732" s="504"/>
      <c r="I732" s="237">
        <v>1100</v>
      </c>
      <c r="J732" s="237"/>
      <c r="K732" s="237">
        <v>1100</v>
      </c>
      <c r="L732" s="237"/>
      <c r="M732" s="237"/>
      <c r="N732" s="239">
        <v>1100</v>
      </c>
      <c r="O732" s="239"/>
      <c r="P732" s="239">
        <f t="shared" si="301"/>
        <v>1100</v>
      </c>
      <c r="Q732" s="505">
        <v>1100</v>
      </c>
      <c r="R732" s="307"/>
      <c r="S732" s="307"/>
      <c r="T732" s="307"/>
      <c r="U732" s="306"/>
      <c r="V732" s="240"/>
      <c r="W732" s="240"/>
      <c r="X732" s="240"/>
      <c r="Y732" s="240"/>
      <c r="Z732" s="308"/>
      <c r="AA732" s="308"/>
      <c r="AB732" s="241"/>
      <c r="AC732" s="242"/>
      <c r="AD732" s="259"/>
      <c r="AE732" s="308"/>
      <c r="AF732" s="308"/>
      <c r="AG732" s="240"/>
      <c r="AH732" s="240"/>
      <c r="AI732" s="240"/>
      <c r="AJ732" s="240"/>
      <c r="AK732" s="308"/>
      <c r="AL732" s="244"/>
      <c r="AM732" s="236"/>
      <c r="AN732" s="378"/>
    </row>
    <row r="733" spans="1:40" s="506" customFormat="1" ht="19.5" customHeight="1">
      <c r="A733" s="263"/>
      <c r="B733" s="478" t="s">
        <v>592</v>
      </c>
      <c r="C733" s="502" t="s">
        <v>1267</v>
      </c>
      <c r="D733" s="502"/>
      <c r="E733" s="503"/>
      <c r="F733" s="504"/>
      <c r="G733" s="504"/>
      <c r="H733" s="504"/>
      <c r="I733" s="237">
        <v>1100</v>
      </c>
      <c r="J733" s="237"/>
      <c r="K733" s="237">
        <v>1100</v>
      </c>
      <c r="L733" s="237"/>
      <c r="M733" s="237"/>
      <c r="N733" s="239">
        <v>219.425</v>
      </c>
      <c r="O733" s="239"/>
      <c r="P733" s="239">
        <f t="shared" si="301"/>
        <v>219.425</v>
      </c>
      <c r="Q733" s="505">
        <v>219.425</v>
      </c>
      <c r="R733" s="307"/>
      <c r="S733" s="307"/>
      <c r="T733" s="307"/>
      <c r="U733" s="306"/>
      <c r="V733" s="240"/>
      <c r="W733" s="240"/>
      <c r="X733" s="240"/>
      <c r="Y733" s="240"/>
      <c r="Z733" s="308"/>
      <c r="AA733" s="308"/>
      <c r="AB733" s="241"/>
      <c r="AC733" s="242"/>
      <c r="AD733" s="259"/>
      <c r="AE733" s="308"/>
      <c r="AF733" s="308"/>
      <c r="AG733" s="240"/>
      <c r="AH733" s="240"/>
      <c r="AI733" s="240"/>
      <c r="AJ733" s="240"/>
      <c r="AK733" s="308"/>
      <c r="AL733" s="244"/>
      <c r="AM733" s="236"/>
      <c r="AN733" s="378"/>
    </row>
    <row r="734" spans="1:40" s="506" customFormat="1" ht="19.5" customHeight="1">
      <c r="A734" s="263"/>
      <c r="B734" s="478" t="s">
        <v>593</v>
      </c>
      <c r="C734" s="502" t="s">
        <v>1267</v>
      </c>
      <c r="D734" s="502"/>
      <c r="E734" s="503"/>
      <c r="F734" s="504"/>
      <c r="G734" s="504"/>
      <c r="H734" s="504"/>
      <c r="I734" s="237">
        <v>700</v>
      </c>
      <c r="J734" s="237"/>
      <c r="K734" s="237">
        <v>700</v>
      </c>
      <c r="L734" s="237"/>
      <c r="M734" s="237"/>
      <c r="N734" s="239">
        <v>128.672</v>
      </c>
      <c r="O734" s="239"/>
      <c r="P734" s="239">
        <f t="shared" si="301"/>
        <v>128.672</v>
      </c>
      <c r="Q734" s="505">
        <v>128.672</v>
      </c>
      <c r="R734" s="307"/>
      <c r="S734" s="307"/>
      <c r="T734" s="307"/>
      <c r="U734" s="306"/>
      <c r="V734" s="240"/>
      <c r="W734" s="240"/>
      <c r="X734" s="240"/>
      <c r="Y734" s="240"/>
      <c r="Z734" s="308"/>
      <c r="AA734" s="308"/>
      <c r="AB734" s="241"/>
      <c r="AC734" s="242"/>
      <c r="AD734" s="259"/>
      <c r="AE734" s="308"/>
      <c r="AF734" s="308"/>
      <c r="AG734" s="240"/>
      <c r="AH734" s="240"/>
      <c r="AI734" s="240"/>
      <c r="AJ734" s="240"/>
      <c r="AK734" s="308"/>
      <c r="AL734" s="244"/>
      <c r="AM734" s="236"/>
      <c r="AN734" s="378"/>
    </row>
    <row r="735" spans="1:40" s="506" customFormat="1" ht="19.5" customHeight="1">
      <c r="A735" s="263"/>
      <c r="B735" s="478" t="s">
        <v>594</v>
      </c>
      <c r="C735" s="502" t="s">
        <v>1267</v>
      </c>
      <c r="D735" s="502"/>
      <c r="E735" s="503"/>
      <c r="F735" s="504"/>
      <c r="G735" s="504"/>
      <c r="H735" s="504"/>
      <c r="I735" s="237">
        <v>234</v>
      </c>
      <c r="J735" s="237"/>
      <c r="K735" s="237">
        <v>234</v>
      </c>
      <c r="L735" s="237"/>
      <c r="M735" s="237"/>
      <c r="N735" s="239">
        <v>195.091</v>
      </c>
      <c r="O735" s="239"/>
      <c r="P735" s="239">
        <f t="shared" si="301"/>
        <v>195.091</v>
      </c>
      <c r="Q735" s="505">
        <v>195.091</v>
      </c>
      <c r="R735" s="307"/>
      <c r="S735" s="307"/>
      <c r="T735" s="307"/>
      <c r="U735" s="306"/>
      <c r="V735" s="240"/>
      <c r="W735" s="240"/>
      <c r="X735" s="240"/>
      <c r="Y735" s="240"/>
      <c r="Z735" s="308"/>
      <c r="AA735" s="308"/>
      <c r="AB735" s="241"/>
      <c r="AC735" s="242"/>
      <c r="AD735" s="259"/>
      <c r="AE735" s="308"/>
      <c r="AF735" s="308"/>
      <c r="AG735" s="240"/>
      <c r="AH735" s="240"/>
      <c r="AI735" s="240"/>
      <c r="AJ735" s="240"/>
      <c r="AK735" s="308"/>
      <c r="AL735" s="244"/>
      <c r="AM735" s="236"/>
      <c r="AN735" s="378"/>
    </row>
    <row r="736" spans="1:40" s="506" customFormat="1" ht="19.5" customHeight="1">
      <c r="A736" s="263"/>
      <c r="B736" s="478" t="s">
        <v>595</v>
      </c>
      <c r="C736" s="502" t="s">
        <v>1267</v>
      </c>
      <c r="D736" s="502"/>
      <c r="E736" s="503"/>
      <c r="F736" s="504"/>
      <c r="G736" s="504"/>
      <c r="H736" s="504"/>
      <c r="I736" s="237">
        <v>200</v>
      </c>
      <c r="J736" s="237"/>
      <c r="K736" s="237">
        <v>200</v>
      </c>
      <c r="L736" s="237"/>
      <c r="M736" s="237"/>
      <c r="N736" s="239">
        <v>200</v>
      </c>
      <c r="O736" s="239"/>
      <c r="P736" s="239">
        <f t="shared" si="301"/>
        <v>200</v>
      </c>
      <c r="Q736" s="505">
        <v>200</v>
      </c>
      <c r="R736" s="307"/>
      <c r="S736" s="307"/>
      <c r="T736" s="307"/>
      <c r="U736" s="306"/>
      <c r="V736" s="240"/>
      <c r="W736" s="240"/>
      <c r="X736" s="240"/>
      <c r="Y736" s="240"/>
      <c r="Z736" s="308"/>
      <c r="AA736" s="308"/>
      <c r="AB736" s="241"/>
      <c r="AC736" s="242"/>
      <c r="AD736" s="259"/>
      <c r="AE736" s="308"/>
      <c r="AF736" s="308"/>
      <c r="AG736" s="240"/>
      <c r="AH736" s="240"/>
      <c r="AI736" s="240"/>
      <c r="AJ736" s="240"/>
      <c r="AK736" s="308"/>
      <c r="AL736" s="244"/>
      <c r="AM736" s="236"/>
      <c r="AN736" s="378"/>
    </row>
    <row r="737" spans="1:40" s="506" customFormat="1" ht="19.5" customHeight="1">
      <c r="A737" s="263"/>
      <c r="B737" s="478" t="s">
        <v>596</v>
      </c>
      <c r="C737" s="502" t="s">
        <v>1267</v>
      </c>
      <c r="D737" s="502"/>
      <c r="E737" s="503"/>
      <c r="F737" s="504"/>
      <c r="G737" s="504"/>
      <c r="H737" s="504"/>
      <c r="I737" s="237">
        <v>298.7487</v>
      </c>
      <c r="J737" s="237"/>
      <c r="K737" s="237">
        <v>298.7487</v>
      </c>
      <c r="L737" s="237"/>
      <c r="M737" s="237"/>
      <c r="N737" s="239">
        <v>297.741</v>
      </c>
      <c r="O737" s="239"/>
      <c r="P737" s="239">
        <f t="shared" si="301"/>
        <v>297.741</v>
      </c>
      <c r="Q737" s="505">
        <v>297.741</v>
      </c>
      <c r="R737" s="307"/>
      <c r="S737" s="307"/>
      <c r="T737" s="307"/>
      <c r="U737" s="306"/>
      <c r="V737" s="240"/>
      <c r="W737" s="240"/>
      <c r="X737" s="240"/>
      <c r="Y737" s="240"/>
      <c r="Z737" s="308"/>
      <c r="AA737" s="308"/>
      <c r="AB737" s="241"/>
      <c r="AC737" s="242"/>
      <c r="AD737" s="259"/>
      <c r="AE737" s="308"/>
      <c r="AF737" s="308"/>
      <c r="AG737" s="240"/>
      <c r="AH737" s="240"/>
      <c r="AI737" s="240"/>
      <c r="AJ737" s="240"/>
      <c r="AK737" s="308"/>
      <c r="AL737" s="244"/>
      <c r="AM737" s="236"/>
      <c r="AN737" s="378"/>
    </row>
    <row r="738" spans="1:40" s="506" customFormat="1" ht="19.5" customHeight="1">
      <c r="A738" s="263"/>
      <c r="B738" s="478" t="s">
        <v>597</v>
      </c>
      <c r="C738" s="502" t="s">
        <v>1267</v>
      </c>
      <c r="D738" s="502"/>
      <c r="E738" s="503"/>
      <c r="F738" s="504"/>
      <c r="G738" s="504"/>
      <c r="H738" s="504"/>
      <c r="I738" s="237">
        <v>800</v>
      </c>
      <c r="J738" s="237"/>
      <c r="K738" s="237">
        <v>800</v>
      </c>
      <c r="L738" s="237"/>
      <c r="M738" s="237"/>
      <c r="N738" s="239">
        <v>140.793</v>
      </c>
      <c r="O738" s="239"/>
      <c r="P738" s="239">
        <f t="shared" si="301"/>
        <v>140.793</v>
      </c>
      <c r="Q738" s="505">
        <v>140.793</v>
      </c>
      <c r="R738" s="307"/>
      <c r="S738" s="307"/>
      <c r="T738" s="307"/>
      <c r="U738" s="306"/>
      <c r="V738" s="240"/>
      <c r="W738" s="240"/>
      <c r="X738" s="240"/>
      <c r="Y738" s="240"/>
      <c r="Z738" s="308"/>
      <c r="AA738" s="308"/>
      <c r="AB738" s="241"/>
      <c r="AC738" s="242"/>
      <c r="AD738" s="259"/>
      <c r="AE738" s="308"/>
      <c r="AF738" s="308"/>
      <c r="AG738" s="240"/>
      <c r="AH738" s="240"/>
      <c r="AI738" s="240"/>
      <c r="AJ738" s="240"/>
      <c r="AK738" s="308"/>
      <c r="AL738" s="244"/>
      <c r="AM738" s="236"/>
      <c r="AN738" s="378"/>
    </row>
    <row r="739" spans="1:40" s="506" customFormat="1" ht="19.5" customHeight="1">
      <c r="A739" s="263"/>
      <c r="B739" s="478" t="s">
        <v>598</v>
      </c>
      <c r="C739" s="502" t="s">
        <v>1267</v>
      </c>
      <c r="D739" s="502"/>
      <c r="E739" s="503"/>
      <c r="F739" s="504"/>
      <c r="G739" s="504"/>
      <c r="H739" s="504"/>
      <c r="I739" s="237">
        <v>100</v>
      </c>
      <c r="J739" s="237"/>
      <c r="K739" s="237">
        <v>100</v>
      </c>
      <c r="L739" s="237"/>
      <c r="M739" s="237"/>
      <c r="N739" s="239">
        <v>100</v>
      </c>
      <c r="O739" s="239"/>
      <c r="P739" s="239">
        <f t="shared" si="301"/>
        <v>100</v>
      </c>
      <c r="Q739" s="505">
        <v>100</v>
      </c>
      <c r="R739" s="307"/>
      <c r="S739" s="307"/>
      <c r="T739" s="307"/>
      <c r="U739" s="306"/>
      <c r="V739" s="240"/>
      <c r="W739" s="240"/>
      <c r="X739" s="240"/>
      <c r="Y739" s="240"/>
      <c r="Z739" s="308"/>
      <c r="AA739" s="308"/>
      <c r="AB739" s="241"/>
      <c r="AC739" s="242"/>
      <c r="AD739" s="259"/>
      <c r="AE739" s="308"/>
      <c r="AF739" s="308"/>
      <c r="AG739" s="240"/>
      <c r="AH739" s="240"/>
      <c r="AI739" s="240"/>
      <c r="AJ739" s="240"/>
      <c r="AK739" s="308"/>
      <c r="AL739" s="244"/>
      <c r="AM739" s="236"/>
      <c r="AN739" s="378"/>
    </row>
    <row r="740" spans="1:40" s="506" customFormat="1" ht="19.5" customHeight="1">
      <c r="A740" s="263"/>
      <c r="B740" s="478" t="s">
        <v>599</v>
      </c>
      <c r="C740" s="502" t="s">
        <v>1267</v>
      </c>
      <c r="D740" s="502"/>
      <c r="E740" s="503"/>
      <c r="F740" s="504"/>
      <c r="G740" s="504"/>
      <c r="H740" s="504"/>
      <c r="I740" s="237">
        <v>150</v>
      </c>
      <c r="J740" s="237"/>
      <c r="K740" s="237">
        <v>150</v>
      </c>
      <c r="L740" s="237"/>
      <c r="M740" s="237"/>
      <c r="N740" s="239">
        <v>150</v>
      </c>
      <c r="O740" s="239"/>
      <c r="P740" s="239">
        <f t="shared" si="301"/>
        <v>150</v>
      </c>
      <c r="Q740" s="505">
        <v>150</v>
      </c>
      <c r="R740" s="307"/>
      <c r="S740" s="307"/>
      <c r="T740" s="307"/>
      <c r="U740" s="306"/>
      <c r="V740" s="240"/>
      <c r="W740" s="240"/>
      <c r="X740" s="240"/>
      <c r="Y740" s="240"/>
      <c r="Z740" s="308"/>
      <c r="AA740" s="308"/>
      <c r="AB740" s="241"/>
      <c r="AC740" s="242"/>
      <c r="AD740" s="259"/>
      <c r="AE740" s="308"/>
      <c r="AF740" s="308"/>
      <c r="AG740" s="240"/>
      <c r="AH740" s="240"/>
      <c r="AI740" s="240"/>
      <c r="AJ740" s="240"/>
      <c r="AK740" s="308"/>
      <c r="AL740" s="244"/>
      <c r="AM740" s="236"/>
      <c r="AN740" s="378"/>
    </row>
    <row r="741" spans="1:40" s="506" customFormat="1" ht="19.5" customHeight="1">
      <c r="A741" s="263"/>
      <c r="B741" s="478" t="s">
        <v>600</v>
      </c>
      <c r="C741" s="502" t="s">
        <v>1267</v>
      </c>
      <c r="D741" s="502"/>
      <c r="E741" s="503"/>
      <c r="F741" s="504"/>
      <c r="G741" s="504"/>
      <c r="H741" s="504"/>
      <c r="I741" s="237">
        <v>200</v>
      </c>
      <c r="J741" s="237"/>
      <c r="K741" s="237">
        <v>200</v>
      </c>
      <c r="L741" s="237"/>
      <c r="M741" s="237"/>
      <c r="N741" s="239">
        <v>131.575</v>
      </c>
      <c r="O741" s="239"/>
      <c r="P741" s="239">
        <f t="shared" si="301"/>
        <v>131.575</v>
      </c>
      <c r="Q741" s="505">
        <v>131.575</v>
      </c>
      <c r="R741" s="307"/>
      <c r="S741" s="307"/>
      <c r="T741" s="307"/>
      <c r="U741" s="306"/>
      <c r="V741" s="240"/>
      <c r="W741" s="240"/>
      <c r="X741" s="240"/>
      <c r="Y741" s="240"/>
      <c r="Z741" s="308"/>
      <c r="AA741" s="308"/>
      <c r="AB741" s="241"/>
      <c r="AC741" s="242"/>
      <c r="AD741" s="259"/>
      <c r="AE741" s="308"/>
      <c r="AF741" s="308"/>
      <c r="AG741" s="240"/>
      <c r="AH741" s="240"/>
      <c r="AI741" s="240"/>
      <c r="AJ741" s="240"/>
      <c r="AK741" s="308"/>
      <c r="AL741" s="244"/>
      <c r="AM741" s="236"/>
      <c r="AN741" s="378"/>
    </row>
    <row r="742" spans="1:40" s="506" customFormat="1" ht="19.5" customHeight="1">
      <c r="A742" s="263"/>
      <c r="B742" s="478" t="s">
        <v>601</v>
      </c>
      <c r="C742" s="502" t="s">
        <v>1267</v>
      </c>
      <c r="D742" s="502"/>
      <c r="E742" s="503"/>
      <c r="F742" s="504"/>
      <c r="G742" s="504"/>
      <c r="H742" s="504"/>
      <c r="I742" s="237">
        <v>150</v>
      </c>
      <c r="J742" s="237"/>
      <c r="K742" s="237">
        <v>150</v>
      </c>
      <c r="L742" s="237"/>
      <c r="M742" s="237"/>
      <c r="N742" s="239">
        <v>150</v>
      </c>
      <c r="O742" s="239"/>
      <c r="P742" s="239">
        <f t="shared" si="301"/>
        <v>150</v>
      </c>
      <c r="Q742" s="505">
        <v>150</v>
      </c>
      <c r="R742" s="307"/>
      <c r="S742" s="307"/>
      <c r="T742" s="307"/>
      <c r="U742" s="306"/>
      <c r="V742" s="240"/>
      <c r="W742" s="240"/>
      <c r="X742" s="240"/>
      <c r="Y742" s="240"/>
      <c r="Z742" s="308"/>
      <c r="AA742" s="308"/>
      <c r="AB742" s="241"/>
      <c r="AC742" s="242"/>
      <c r="AD742" s="259"/>
      <c r="AE742" s="308"/>
      <c r="AF742" s="308"/>
      <c r="AG742" s="240"/>
      <c r="AH742" s="240"/>
      <c r="AI742" s="240"/>
      <c r="AJ742" s="240"/>
      <c r="AK742" s="308"/>
      <c r="AL742" s="244"/>
      <c r="AM742" s="236"/>
      <c r="AN742" s="378"/>
    </row>
    <row r="743" spans="1:40" s="506" customFormat="1" ht="19.5" customHeight="1">
      <c r="A743" s="263"/>
      <c r="B743" s="478" t="s">
        <v>602</v>
      </c>
      <c r="C743" s="502" t="s">
        <v>1267</v>
      </c>
      <c r="D743" s="502"/>
      <c r="E743" s="503"/>
      <c r="F743" s="504"/>
      <c r="G743" s="504"/>
      <c r="H743" s="504"/>
      <c r="I743" s="237">
        <v>1297</v>
      </c>
      <c r="J743" s="237"/>
      <c r="K743" s="237">
        <v>1297</v>
      </c>
      <c r="L743" s="237"/>
      <c r="M743" s="237"/>
      <c r="N743" s="239">
        <v>1297</v>
      </c>
      <c r="O743" s="239"/>
      <c r="P743" s="239">
        <f t="shared" si="301"/>
        <v>1297</v>
      </c>
      <c r="Q743" s="505">
        <v>1297</v>
      </c>
      <c r="R743" s="307"/>
      <c r="S743" s="307"/>
      <c r="T743" s="307"/>
      <c r="U743" s="306"/>
      <c r="V743" s="240"/>
      <c r="W743" s="240"/>
      <c r="X743" s="240"/>
      <c r="Y743" s="240"/>
      <c r="Z743" s="308"/>
      <c r="AA743" s="308"/>
      <c r="AB743" s="241"/>
      <c r="AC743" s="242"/>
      <c r="AD743" s="259"/>
      <c r="AE743" s="308"/>
      <c r="AF743" s="308"/>
      <c r="AG743" s="240"/>
      <c r="AH743" s="240"/>
      <c r="AI743" s="240"/>
      <c r="AJ743" s="240"/>
      <c r="AK743" s="308"/>
      <c r="AL743" s="244"/>
      <c r="AM743" s="236"/>
      <c r="AN743" s="378"/>
    </row>
    <row r="744" spans="1:40" s="506" customFormat="1" ht="19.5" customHeight="1">
      <c r="A744" s="263"/>
      <c r="B744" s="478" t="s">
        <v>603</v>
      </c>
      <c r="C744" s="502" t="s">
        <v>1267</v>
      </c>
      <c r="D744" s="502"/>
      <c r="E744" s="503"/>
      <c r="F744" s="504"/>
      <c r="G744" s="504"/>
      <c r="H744" s="504"/>
      <c r="I744" s="237">
        <v>1148</v>
      </c>
      <c r="J744" s="237"/>
      <c r="K744" s="237">
        <v>1148</v>
      </c>
      <c r="L744" s="237"/>
      <c r="M744" s="237"/>
      <c r="N744" s="239">
        <v>1105.886</v>
      </c>
      <c r="O744" s="239"/>
      <c r="P744" s="239">
        <f t="shared" si="301"/>
        <v>1105.886</v>
      </c>
      <c r="Q744" s="505">
        <v>1105.886</v>
      </c>
      <c r="R744" s="307"/>
      <c r="S744" s="307"/>
      <c r="T744" s="307"/>
      <c r="U744" s="306"/>
      <c r="V744" s="240"/>
      <c r="W744" s="240"/>
      <c r="X744" s="240"/>
      <c r="Y744" s="240"/>
      <c r="Z744" s="308"/>
      <c r="AA744" s="308"/>
      <c r="AB744" s="241"/>
      <c r="AC744" s="242"/>
      <c r="AD744" s="259"/>
      <c r="AE744" s="308"/>
      <c r="AF744" s="308"/>
      <c r="AG744" s="240"/>
      <c r="AH744" s="240"/>
      <c r="AI744" s="240"/>
      <c r="AJ744" s="240"/>
      <c r="AK744" s="308"/>
      <c r="AL744" s="244"/>
      <c r="AM744" s="236"/>
      <c r="AN744" s="378"/>
    </row>
    <row r="745" spans="1:40" s="506" customFormat="1" ht="19.5" customHeight="1">
      <c r="A745" s="263"/>
      <c r="B745" s="478" t="s">
        <v>604</v>
      </c>
      <c r="C745" s="502" t="s">
        <v>1267</v>
      </c>
      <c r="D745" s="502"/>
      <c r="E745" s="503"/>
      <c r="F745" s="504"/>
      <c r="G745" s="504"/>
      <c r="H745" s="504"/>
      <c r="I745" s="237">
        <v>2021.427</v>
      </c>
      <c r="J745" s="237"/>
      <c r="K745" s="237">
        <v>2021.427</v>
      </c>
      <c r="L745" s="237"/>
      <c r="M745" s="237"/>
      <c r="N745" s="239">
        <v>2021.427</v>
      </c>
      <c r="O745" s="239"/>
      <c r="P745" s="239">
        <f t="shared" si="301"/>
        <v>2021.427</v>
      </c>
      <c r="Q745" s="505">
        <v>2021.427</v>
      </c>
      <c r="R745" s="307"/>
      <c r="S745" s="307"/>
      <c r="T745" s="307"/>
      <c r="U745" s="306"/>
      <c r="V745" s="240"/>
      <c r="W745" s="240"/>
      <c r="X745" s="240"/>
      <c r="Y745" s="240"/>
      <c r="Z745" s="308"/>
      <c r="AA745" s="308"/>
      <c r="AB745" s="241"/>
      <c r="AC745" s="242"/>
      <c r="AD745" s="259"/>
      <c r="AE745" s="308"/>
      <c r="AF745" s="308"/>
      <c r="AG745" s="240"/>
      <c r="AH745" s="240"/>
      <c r="AI745" s="240"/>
      <c r="AJ745" s="240"/>
      <c r="AK745" s="308"/>
      <c r="AL745" s="244"/>
      <c r="AM745" s="236"/>
      <c r="AN745" s="378"/>
    </row>
    <row r="746" spans="1:40" s="506" customFormat="1" ht="19.5" customHeight="1">
      <c r="A746" s="263"/>
      <c r="B746" s="478" t="s">
        <v>605</v>
      </c>
      <c r="C746" s="502" t="s">
        <v>1267</v>
      </c>
      <c r="D746" s="502"/>
      <c r="E746" s="503"/>
      <c r="F746" s="504"/>
      <c r="G746" s="504"/>
      <c r="H746" s="504"/>
      <c r="I746" s="237">
        <v>1650</v>
      </c>
      <c r="J746" s="237"/>
      <c r="K746" s="237">
        <v>1650</v>
      </c>
      <c r="L746" s="237"/>
      <c r="M746" s="237"/>
      <c r="N746" s="239">
        <v>1641.947</v>
      </c>
      <c r="O746" s="239"/>
      <c r="P746" s="239">
        <f t="shared" si="301"/>
        <v>1641.947</v>
      </c>
      <c r="Q746" s="505">
        <v>1641.947</v>
      </c>
      <c r="R746" s="307"/>
      <c r="S746" s="307"/>
      <c r="T746" s="307"/>
      <c r="U746" s="306"/>
      <c r="V746" s="240"/>
      <c r="W746" s="240"/>
      <c r="X746" s="240"/>
      <c r="Y746" s="240"/>
      <c r="Z746" s="308"/>
      <c r="AA746" s="308"/>
      <c r="AB746" s="241"/>
      <c r="AC746" s="242"/>
      <c r="AD746" s="259"/>
      <c r="AE746" s="308"/>
      <c r="AF746" s="308"/>
      <c r="AG746" s="240"/>
      <c r="AH746" s="240"/>
      <c r="AI746" s="240"/>
      <c r="AJ746" s="240"/>
      <c r="AK746" s="308"/>
      <c r="AL746" s="244"/>
      <c r="AM746" s="236"/>
      <c r="AN746" s="378"/>
    </row>
    <row r="747" spans="1:40" s="506" customFormat="1" ht="19.5" customHeight="1">
      <c r="A747" s="263"/>
      <c r="B747" s="478" t="s">
        <v>606</v>
      </c>
      <c r="C747" s="502" t="s">
        <v>1267</v>
      </c>
      <c r="D747" s="502"/>
      <c r="E747" s="503"/>
      <c r="F747" s="504"/>
      <c r="G747" s="504"/>
      <c r="H747" s="504"/>
      <c r="I747" s="237">
        <v>378</v>
      </c>
      <c r="J747" s="237"/>
      <c r="K747" s="237">
        <v>378</v>
      </c>
      <c r="L747" s="237"/>
      <c r="M747" s="237"/>
      <c r="N747" s="239">
        <v>346.639</v>
      </c>
      <c r="O747" s="239"/>
      <c r="P747" s="239">
        <f t="shared" si="301"/>
        <v>346.639</v>
      </c>
      <c r="Q747" s="505">
        <v>346.639</v>
      </c>
      <c r="R747" s="307"/>
      <c r="S747" s="307"/>
      <c r="T747" s="307"/>
      <c r="U747" s="306"/>
      <c r="V747" s="240"/>
      <c r="W747" s="240"/>
      <c r="X747" s="240"/>
      <c r="Y747" s="240"/>
      <c r="Z747" s="308"/>
      <c r="AA747" s="308"/>
      <c r="AB747" s="241"/>
      <c r="AC747" s="242"/>
      <c r="AD747" s="259"/>
      <c r="AE747" s="308"/>
      <c r="AF747" s="308"/>
      <c r="AG747" s="240"/>
      <c r="AH747" s="240"/>
      <c r="AI747" s="240"/>
      <c r="AJ747" s="240"/>
      <c r="AK747" s="308"/>
      <c r="AL747" s="244"/>
      <c r="AM747" s="236"/>
      <c r="AN747" s="378"/>
    </row>
    <row r="748" spans="1:40" s="506" customFormat="1" ht="19.5" customHeight="1">
      <c r="A748" s="263"/>
      <c r="B748" s="478" t="s">
        <v>607</v>
      </c>
      <c r="C748" s="502" t="s">
        <v>1267</v>
      </c>
      <c r="D748" s="502"/>
      <c r="E748" s="503"/>
      <c r="F748" s="504"/>
      <c r="G748" s="504"/>
      <c r="H748" s="504"/>
      <c r="I748" s="237">
        <v>1950</v>
      </c>
      <c r="J748" s="237"/>
      <c r="K748" s="237">
        <v>1950</v>
      </c>
      <c r="L748" s="237"/>
      <c r="M748" s="237"/>
      <c r="N748" s="239">
        <v>1940.755</v>
      </c>
      <c r="O748" s="239"/>
      <c r="P748" s="239">
        <f t="shared" si="301"/>
        <v>1940.755</v>
      </c>
      <c r="Q748" s="505">
        <v>1940.755</v>
      </c>
      <c r="R748" s="307"/>
      <c r="S748" s="307"/>
      <c r="T748" s="307"/>
      <c r="U748" s="306"/>
      <c r="V748" s="240"/>
      <c r="W748" s="240"/>
      <c r="X748" s="240"/>
      <c r="Y748" s="240"/>
      <c r="Z748" s="308"/>
      <c r="AA748" s="308"/>
      <c r="AB748" s="241"/>
      <c r="AC748" s="242"/>
      <c r="AD748" s="259"/>
      <c r="AE748" s="308"/>
      <c r="AF748" s="308"/>
      <c r="AG748" s="240"/>
      <c r="AH748" s="240"/>
      <c r="AI748" s="240"/>
      <c r="AJ748" s="240"/>
      <c r="AK748" s="308"/>
      <c r="AL748" s="244"/>
      <c r="AM748" s="236"/>
      <c r="AN748" s="378"/>
    </row>
    <row r="749" spans="1:40" s="506" customFormat="1" ht="19.5" customHeight="1">
      <c r="A749" s="263"/>
      <c r="B749" s="478" t="s">
        <v>608</v>
      </c>
      <c r="C749" s="502" t="s">
        <v>1052</v>
      </c>
      <c r="D749" s="502" t="s">
        <v>474</v>
      </c>
      <c r="E749" s="503"/>
      <c r="F749" s="504">
        <v>2218.37</v>
      </c>
      <c r="G749" s="504">
        <v>2146.3</v>
      </c>
      <c r="H749" s="504">
        <v>2146.3</v>
      </c>
      <c r="I749" s="237">
        <v>319.062</v>
      </c>
      <c r="J749" s="237">
        <v>319.062</v>
      </c>
      <c r="K749" s="237">
        <v>319.062</v>
      </c>
      <c r="L749" s="237"/>
      <c r="M749" s="237"/>
      <c r="N749" s="239">
        <v>319.062</v>
      </c>
      <c r="O749" s="239">
        <v>319.062</v>
      </c>
      <c r="P749" s="239">
        <f>SUM(Q749:S749)</f>
        <v>319.062</v>
      </c>
      <c r="Q749" s="505">
        <v>319.062</v>
      </c>
      <c r="R749" s="307"/>
      <c r="S749" s="307"/>
      <c r="T749" s="307"/>
      <c r="U749" s="306"/>
      <c r="V749" s="240"/>
      <c r="W749" s="240"/>
      <c r="X749" s="240"/>
      <c r="Y749" s="240"/>
      <c r="Z749" s="308"/>
      <c r="AA749" s="308"/>
      <c r="AB749" s="241"/>
      <c r="AC749" s="242"/>
      <c r="AD749" s="259"/>
      <c r="AE749" s="308"/>
      <c r="AF749" s="308"/>
      <c r="AG749" s="240"/>
      <c r="AH749" s="240"/>
      <c r="AI749" s="240"/>
      <c r="AJ749" s="240"/>
      <c r="AK749" s="308"/>
      <c r="AL749" s="244"/>
      <c r="AM749" s="236"/>
      <c r="AN749" s="378"/>
    </row>
    <row r="750" spans="1:40" s="506" customFormat="1" ht="19.5" customHeight="1">
      <c r="A750" s="263"/>
      <c r="B750" s="478" t="s">
        <v>609</v>
      </c>
      <c r="C750" s="502" t="s">
        <v>1267</v>
      </c>
      <c r="D750" s="502" t="s">
        <v>474</v>
      </c>
      <c r="E750" s="503"/>
      <c r="F750" s="504">
        <v>1977.219</v>
      </c>
      <c r="G750" s="504">
        <v>1953.129</v>
      </c>
      <c r="H750" s="504">
        <v>1953.129</v>
      </c>
      <c r="I750" s="237">
        <v>18</v>
      </c>
      <c r="J750" s="237">
        <v>18</v>
      </c>
      <c r="K750" s="237">
        <v>18</v>
      </c>
      <c r="L750" s="237"/>
      <c r="M750" s="237"/>
      <c r="N750" s="239">
        <v>18</v>
      </c>
      <c r="O750" s="239">
        <v>18</v>
      </c>
      <c r="P750" s="239">
        <f aca="true" t="shared" si="302" ref="P750:P774">SUM(Q750:S750)</f>
        <v>18</v>
      </c>
      <c r="Q750" s="505">
        <v>18</v>
      </c>
      <c r="R750" s="307"/>
      <c r="S750" s="307"/>
      <c r="T750" s="307"/>
      <c r="U750" s="306"/>
      <c r="V750" s="240"/>
      <c r="W750" s="240"/>
      <c r="X750" s="240"/>
      <c r="Y750" s="240"/>
      <c r="Z750" s="308"/>
      <c r="AA750" s="308"/>
      <c r="AB750" s="241"/>
      <c r="AC750" s="242"/>
      <c r="AD750" s="259"/>
      <c r="AE750" s="308"/>
      <c r="AF750" s="308"/>
      <c r="AG750" s="240"/>
      <c r="AH750" s="240"/>
      <c r="AI750" s="240"/>
      <c r="AJ750" s="240"/>
      <c r="AK750" s="308"/>
      <c r="AL750" s="244"/>
      <c r="AM750" s="236"/>
      <c r="AN750" s="378"/>
    </row>
    <row r="751" spans="1:40" s="506" customFormat="1" ht="19.5" customHeight="1">
      <c r="A751" s="263"/>
      <c r="B751" s="478" t="s">
        <v>610</v>
      </c>
      <c r="C751" s="502" t="s">
        <v>1267</v>
      </c>
      <c r="D751" s="502" t="s">
        <v>474</v>
      </c>
      <c r="E751" s="503"/>
      <c r="F751" s="504">
        <v>3000</v>
      </c>
      <c r="G751" s="504">
        <v>2942.063</v>
      </c>
      <c r="H751" s="504">
        <v>2942.063</v>
      </c>
      <c r="I751" s="237">
        <v>16.815</v>
      </c>
      <c r="J751" s="237">
        <v>16.815</v>
      </c>
      <c r="K751" s="237">
        <v>16.815</v>
      </c>
      <c r="L751" s="237"/>
      <c r="M751" s="237"/>
      <c r="N751" s="239">
        <v>16.815</v>
      </c>
      <c r="O751" s="239">
        <v>16.815</v>
      </c>
      <c r="P751" s="239">
        <f t="shared" si="302"/>
        <v>16.815</v>
      </c>
      <c r="Q751" s="505">
        <v>16.815</v>
      </c>
      <c r="R751" s="307"/>
      <c r="S751" s="307"/>
      <c r="T751" s="307"/>
      <c r="U751" s="306"/>
      <c r="V751" s="240"/>
      <c r="W751" s="240"/>
      <c r="X751" s="240"/>
      <c r="Y751" s="240"/>
      <c r="Z751" s="308"/>
      <c r="AA751" s="308"/>
      <c r="AB751" s="241"/>
      <c r="AC751" s="242"/>
      <c r="AD751" s="259"/>
      <c r="AE751" s="308"/>
      <c r="AF751" s="308"/>
      <c r="AG751" s="240"/>
      <c r="AH751" s="240"/>
      <c r="AI751" s="240"/>
      <c r="AJ751" s="240"/>
      <c r="AK751" s="308"/>
      <c r="AL751" s="244"/>
      <c r="AM751" s="236"/>
      <c r="AN751" s="378"/>
    </row>
    <row r="752" spans="1:40" s="506" customFormat="1" ht="19.5" customHeight="1">
      <c r="A752" s="263"/>
      <c r="B752" s="478" t="s">
        <v>611</v>
      </c>
      <c r="C752" s="502" t="s">
        <v>1267</v>
      </c>
      <c r="D752" s="502" t="s">
        <v>474</v>
      </c>
      <c r="E752" s="503"/>
      <c r="F752" s="504">
        <v>2500</v>
      </c>
      <c r="G752" s="504">
        <v>2411.775</v>
      </c>
      <c r="H752" s="504">
        <v>2411.775</v>
      </c>
      <c r="I752" s="237">
        <v>171.885</v>
      </c>
      <c r="J752" s="237">
        <v>171.885</v>
      </c>
      <c r="K752" s="237">
        <v>171.885</v>
      </c>
      <c r="L752" s="237"/>
      <c r="M752" s="237"/>
      <c r="N752" s="239">
        <v>171.885</v>
      </c>
      <c r="O752" s="239">
        <v>171.885</v>
      </c>
      <c r="P752" s="239">
        <f t="shared" si="302"/>
        <v>171.885</v>
      </c>
      <c r="Q752" s="505">
        <v>171.885</v>
      </c>
      <c r="R752" s="307"/>
      <c r="S752" s="307"/>
      <c r="T752" s="307"/>
      <c r="U752" s="306"/>
      <c r="V752" s="240"/>
      <c r="W752" s="240"/>
      <c r="X752" s="240"/>
      <c r="Y752" s="240"/>
      <c r="Z752" s="308"/>
      <c r="AA752" s="308"/>
      <c r="AB752" s="241"/>
      <c r="AC752" s="242"/>
      <c r="AD752" s="259"/>
      <c r="AE752" s="308"/>
      <c r="AF752" s="308"/>
      <c r="AG752" s="240"/>
      <c r="AH752" s="240"/>
      <c r="AI752" s="240"/>
      <c r="AJ752" s="240"/>
      <c r="AK752" s="308"/>
      <c r="AL752" s="244"/>
      <c r="AM752" s="236"/>
      <c r="AN752" s="378"/>
    </row>
    <row r="753" spans="1:40" s="506" customFormat="1" ht="19.5" customHeight="1">
      <c r="A753" s="263"/>
      <c r="B753" s="478" t="s">
        <v>612</v>
      </c>
      <c r="C753" s="502" t="s">
        <v>1267</v>
      </c>
      <c r="D753" s="502" t="s">
        <v>474</v>
      </c>
      <c r="E753" s="503"/>
      <c r="F753" s="504">
        <v>1520</v>
      </c>
      <c r="G753" s="504">
        <v>935</v>
      </c>
      <c r="H753" s="504">
        <v>935</v>
      </c>
      <c r="I753" s="237">
        <v>935</v>
      </c>
      <c r="J753" s="237">
        <v>935</v>
      </c>
      <c r="K753" s="237">
        <v>935</v>
      </c>
      <c r="L753" s="237"/>
      <c r="M753" s="237"/>
      <c r="N753" s="239">
        <v>935</v>
      </c>
      <c r="O753" s="239">
        <v>935</v>
      </c>
      <c r="P753" s="239">
        <f t="shared" si="302"/>
        <v>935</v>
      </c>
      <c r="Q753" s="505">
        <v>935</v>
      </c>
      <c r="R753" s="307"/>
      <c r="S753" s="307"/>
      <c r="T753" s="307"/>
      <c r="U753" s="306"/>
      <c r="V753" s="240"/>
      <c r="W753" s="240"/>
      <c r="X753" s="240"/>
      <c r="Y753" s="240"/>
      <c r="Z753" s="308"/>
      <c r="AA753" s="308"/>
      <c r="AB753" s="241"/>
      <c r="AC753" s="242"/>
      <c r="AD753" s="259"/>
      <c r="AE753" s="308"/>
      <c r="AF753" s="308"/>
      <c r="AG753" s="240"/>
      <c r="AH753" s="240"/>
      <c r="AI753" s="240"/>
      <c r="AJ753" s="240"/>
      <c r="AK753" s="308"/>
      <c r="AL753" s="244"/>
      <c r="AM753" s="236"/>
      <c r="AN753" s="378"/>
    </row>
    <row r="754" spans="1:40" s="506" customFormat="1" ht="19.5" customHeight="1">
      <c r="A754" s="263"/>
      <c r="B754" s="478" t="s">
        <v>613</v>
      </c>
      <c r="C754" s="502" t="s">
        <v>1267</v>
      </c>
      <c r="D754" s="502" t="s">
        <v>474</v>
      </c>
      <c r="E754" s="503"/>
      <c r="F754" s="504">
        <v>1500</v>
      </c>
      <c r="G754" s="504">
        <v>918.185</v>
      </c>
      <c r="H754" s="504">
        <v>918.185</v>
      </c>
      <c r="I754" s="237">
        <v>918.185</v>
      </c>
      <c r="J754" s="237">
        <v>918.185</v>
      </c>
      <c r="K754" s="237">
        <v>918.185</v>
      </c>
      <c r="L754" s="237"/>
      <c r="M754" s="237"/>
      <c r="N754" s="239">
        <v>918.185</v>
      </c>
      <c r="O754" s="239">
        <v>918.185</v>
      </c>
      <c r="P754" s="239">
        <f t="shared" si="302"/>
        <v>918.185</v>
      </c>
      <c r="Q754" s="505">
        <v>918.185</v>
      </c>
      <c r="R754" s="307"/>
      <c r="S754" s="307"/>
      <c r="T754" s="307"/>
      <c r="U754" s="306"/>
      <c r="V754" s="240"/>
      <c r="W754" s="240"/>
      <c r="X754" s="240"/>
      <c r="Y754" s="240"/>
      <c r="Z754" s="308"/>
      <c r="AA754" s="308"/>
      <c r="AB754" s="241"/>
      <c r="AC754" s="242"/>
      <c r="AD754" s="259"/>
      <c r="AE754" s="308"/>
      <c r="AF754" s="308"/>
      <c r="AG754" s="240"/>
      <c r="AH754" s="240"/>
      <c r="AI754" s="240"/>
      <c r="AJ754" s="240"/>
      <c r="AK754" s="308"/>
      <c r="AL754" s="244"/>
      <c r="AM754" s="236"/>
      <c r="AN754" s="378"/>
    </row>
    <row r="755" spans="1:40" s="506" customFormat="1" ht="19.5" customHeight="1">
      <c r="A755" s="263"/>
      <c r="B755" s="478" t="s">
        <v>614</v>
      </c>
      <c r="C755" s="502" t="s">
        <v>1267</v>
      </c>
      <c r="D755" s="502" t="s">
        <v>327</v>
      </c>
      <c r="E755" s="503"/>
      <c r="F755" s="504">
        <v>1900</v>
      </c>
      <c r="G755" s="504">
        <v>615.938</v>
      </c>
      <c r="H755" s="504">
        <v>615.938</v>
      </c>
      <c r="I755" s="237">
        <v>615.938</v>
      </c>
      <c r="J755" s="237"/>
      <c r="K755" s="237">
        <v>615.938</v>
      </c>
      <c r="L755" s="237"/>
      <c r="M755" s="237"/>
      <c r="N755" s="239">
        <v>615.938</v>
      </c>
      <c r="O755" s="239"/>
      <c r="P755" s="239">
        <f t="shared" si="302"/>
        <v>615.938</v>
      </c>
      <c r="Q755" s="505">
        <v>615.938</v>
      </c>
      <c r="R755" s="307"/>
      <c r="S755" s="307"/>
      <c r="T755" s="307"/>
      <c r="U755" s="306"/>
      <c r="V755" s="240"/>
      <c r="W755" s="240"/>
      <c r="X755" s="240"/>
      <c r="Y755" s="240"/>
      <c r="Z755" s="308"/>
      <c r="AA755" s="308"/>
      <c r="AB755" s="241"/>
      <c r="AC755" s="242"/>
      <c r="AD755" s="259"/>
      <c r="AE755" s="308"/>
      <c r="AF755" s="308"/>
      <c r="AG755" s="240"/>
      <c r="AH755" s="240"/>
      <c r="AI755" s="240"/>
      <c r="AJ755" s="240"/>
      <c r="AK755" s="308"/>
      <c r="AL755" s="244"/>
      <c r="AM755" s="236"/>
      <c r="AN755" s="378"/>
    </row>
    <row r="756" spans="1:40" s="506" customFormat="1" ht="19.5" customHeight="1">
      <c r="A756" s="263"/>
      <c r="B756" s="478" t="s">
        <v>615</v>
      </c>
      <c r="C756" s="502" t="s">
        <v>1267</v>
      </c>
      <c r="D756" s="502" t="s">
        <v>327</v>
      </c>
      <c r="E756" s="503"/>
      <c r="F756" s="504">
        <v>2500</v>
      </c>
      <c r="G756" s="504">
        <v>935</v>
      </c>
      <c r="H756" s="504">
        <v>935</v>
      </c>
      <c r="I756" s="237">
        <v>935</v>
      </c>
      <c r="J756" s="237"/>
      <c r="K756" s="237">
        <v>935</v>
      </c>
      <c r="L756" s="237"/>
      <c r="M756" s="237"/>
      <c r="N756" s="239">
        <v>935</v>
      </c>
      <c r="O756" s="239"/>
      <c r="P756" s="239">
        <f t="shared" si="302"/>
        <v>935</v>
      </c>
      <c r="Q756" s="505">
        <v>935</v>
      </c>
      <c r="R756" s="307"/>
      <c r="S756" s="307"/>
      <c r="T756" s="307"/>
      <c r="U756" s="306"/>
      <c r="V756" s="240"/>
      <c r="W756" s="240"/>
      <c r="X756" s="240"/>
      <c r="Y756" s="240"/>
      <c r="Z756" s="308"/>
      <c r="AA756" s="308"/>
      <c r="AB756" s="241"/>
      <c r="AC756" s="242"/>
      <c r="AD756" s="259"/>
      <c r="AE756" s="308"/>
      <c r="AF756" s="308"/>
      <c r="AG756" s="240"/>
      <c r="AH756" s="240"/>
      <c r="AI756" s="240"/>
      <c r="AJ756" s="240"/>
      <c r="AK756" s="308"/>
      <c r="AL756" s="244"/>
      <c r="AM756" s="236"/>
      <c r="AN756" s="378"/>
    </row>
    <row r="757" spans="1:40" s="506" customFormat="1" ht="19.5" customHeight="1">
      <c r="A757" s="263"/>
      <c r="B757" s="478" t="s">
        <v>616</v>
      </c>
      <c r="C757" s="502" t="s">
        <v>1267</v>
      </c>
      <c r="D757" s="502" t="s">
        <v>327</v>
      </c>
      <c r="E757" s="503"/>
      <c r="F757" s="504">
        <v>2000</v>
      </c>
      <c r="G757" s="504">
        <v>950.114</v>
      </c>
      <c r="H757" s="504">
        <v>950.114</v>
      </c>
      <c r="I757" s="237">
        <v>950.115</v>
      </c>
      <c r="J757" s="237"/>
      <c r="K757" s="237">
        <v>950.115</v>
      </c>
      <c r="L757" s="237"/>
      <c r="M757" s="237"/>
      <c r="N757" s="239">
        <v>950.114</v>
      </c>
      <c r="O757" s="239"/>
      <c r="P757" s="239">
        <f t="shared" si="302"/>
        <v>950.114</v>
      </c>
      <c r="Q757" s="505">
        <v>950.114</v>
      </c>
      <c r="R757" s="307"/>
      <c r="S757" s="307"/>
      <c r="T757" s="307"/>
      <c r="U757" s="306"/>
      <c r="V757" s="240"/>
      <c r="W757" s="240"/>
      <c r="X757" s="240"/>
      <c r="Y757" s="240"/>
      <c r="Z757" s="308"/>
      <c r="AA757" s="308"/>
      <c r="AB757" s="241"/>
      <c r="AC757" s="242"/>
      <c r="AD757" s="259"/>
      <c r="AE757" s="308"/>
      <c r="AF757" s="308"/>
      <c r="AG757" s="240"/>
      <c r="AH757" s="240"/>
      <c r="AI757" s="240"/>
      <c r="AJ757" s="240"/>
      <c r="AK757" s="308"/>
      <c r="AL757" s="244"/>
      <c r="AM757" s="236"/>
      <c r="AN757" s="378"/>
    </row>
    <row r="758" spans="1:40" s="506" customFormat="1" ht="19.5" customHeight="1">
      <c r="A758" s="263"/>
      <c r="B758" s="478" t="s">
        <v>617</v>
      </c>
      <c r="C758" s="502" t="s">
        <v>1267</v>
      </c>
      <c r="D758" s="502" t="s">
        <v>327</v>
      </c>
      <c r="E758" s="503"/>
      <c r="F758" s="504">
        <v>1900</v>
      </c>
      <c r="G758" s="504">
        <v>731</v>
      </c>
      <c r="H758" s="504">
        <v>731</v>
      </c>
      <c r="I758" s="237">
        <v>731</v>
      </c>
      <c r="J758" s="237"/>
      <c r="K758" s="237">
        <v>731</v>
      </c>
      <c r="L758" s="237"/>
      <c r="M758" s="237"/>
      <c r="N758" s="239">
        <v>731</v>
      </c>
      <c r="O758" s="239"/>
      <c r="P758" s="239">
        <f t="shared" si="302"/>
        <v>731</v>
      </c>
      <c r="Q758" s="505">
        <v>731</v>
      </c>
      <c r="R758" s="307"/>
      <c r="S758" s="307"/>
      <c r="T758" s="307"/>
      <c r="U758" s="306"/>
      <c r="V758" s="240"/>
      <c r="W758" s="240"/>
      <c r="X758" s="240"/>
      <c r="Y758" s="240"/>
      <c r="Z758" s="308"/>
      <c r="AA758" s="308"/>
      <c r="AB758" s="241"/>
      <c r="AC758" s="242"/>
      <c r="AD758" s="259"/>
      <c r="AE758" s="308"/>
      <c r="AF758" s="308"/>
      <c r="AG758" s="240"/>
      <c r="AH758" s="240"/>
      <c r="AI758" s="240"/>
      <c r="AJ758" s="240"/>
      <c r="AK758" s="308"/>
      <c r="AL758" s="244"/>
      <c r="AM758" s="236"/>
      <c r="AN758" s="378"/>
    </row>
    <row r="759" spans="1:40" s="506" customFormat="1" ht="19.5" customHeight="1">
      <c r="A759" s="263"/>
      <c r="B759" s="478" t="s">
        <v>618</v>
      </c>
      <c r="C759" s="502" t="s">
        <v>1267</v>
      </c>
      <c r="D759" s="502" t="s">
        <v>327</v>
      </c>
      <c r="E759" s="503"/>
      <c r="F759" s="504">
        <v>1700</v>
      </c>
      <c r="G759" s="504">
        <v>934.999</v>
      </c>
      <c r="H759" s="504">
        <v>934.999</v>
      </c>
      <c r="I759" s="237">
        <v>935</v>
      </c>
      <c r="J759" s="237"/>
      <c r="K759" s="237">
        <v>935</v>
      </c>
      <c r="L759" s="237"/>
      <c r="M759" s="237"/>
      <c r="N759" s="239">
        <v>934.999</v>
      </c>
      <c r="O759" s="239"/>
      <c r="P759" s="239">
        <f t="shared" si="302"/>
        <v>934.999</v>
      </c>
      <c r="Q759" s="505">
        <v>934.999</v>
      </c>
      <c r="R759" s="307"/>
      <c r="S759" s="307"/>
      <c r="T759" s="307"/>
      <c r="U759" s="306"/>
      <c r="V759" s="240"/>
      <c r="W759" s="240"/>
      <c r="X759" s="240"/>
      <c r="Y759" s="240"/>
      <c r="Z759" s="308"/>
      <c r="AA759" s="308"/>
      <c r="AB759" s="241"/>
      <c r="AC759" s="242"/>
      <c r="AD759" s="259"/>
      <c r="AE759" s="308"/>
      <c r="AF759" s="308"/>
      <c r="AG759" s="240"/>
      <c r="AH759" s="240"/>
      <c r="AI759" s="240"/>
      <c r="AJ759" s="240"/>
      <c r="AK759" s="308"/>
      <c r="AL759" s="244"/>
      <c r="AM759" s="236"/>
      <c r="AN759" s="378"/>
    </row>
    <row r="760" spans="1:40" s="506" customFormat="1" ht="19.5" customHeight="1">
      <c r="A760" s="263"/>
      <c r="B760" s="478" t="s">
        <v>619</v>
      </c>
      <c r="C760" s="502" t="s">
        <v>1267</v>
      </c>
      <c r="D760" s="502" t="s">
        <v>327</v>
      </c>
      <c r="E760" s="503"/>
      <c r="F760" s="504">
        <v>272</v>
      </c>
      <c r="G760" s="504">
        <v>200</v>
      </c>
      <c r="H760" s="504">
        <v>200</v>
      </c>
      <c r="I760" s="237">
        <v>200</v>
      </c>
      <c r="J760" s="237"/>
      <c r="K760" s="237">
        <v>200</v>
      </c>
      <c r="L760" s="237"/>
      <c r="M760" s="237"/>
      <c r="N760" s="239">
        <v>200</v>
      </c>
      <c r="O760" s="239"/>
      <c r="P760" s="239">
        <f t="shared" si="302"/>
        <v>200</v>
      </c>
      <c r="Q760" s="505">
        <v>200</v>
      </c>
      <c r="R760" s="307"/>
      <c r="S760" s="307"/>
      <c r="T760" s="307"/>
      <c r="U760" s="306"/>
      <c r="V760" s="240"/>
      <c r="W760" s="240"/>
      <c r="X760" s="240"/>
      <c r="Y760" s="240"/>
      <c r="Z760" s="308"/>
      <c r="AA760" s="308"/>
      <c r="AB760" s="241"/>
      <c r="AC760" s="242"/>
      <c r="AD760" s="259"/>
      <c r="AE760" s="308"/>
      <c r="AF760" s="308"/>
      <c r="AG760" s="240"/>
      <c r="AH760" s="240"/>
      <c r="AI760" s="240"/>
      <c r="AJ760" s="240"/>
      <c r="AK760" s="308"/>
      <c r="AL760" s="244"/>
      <c r="AM760" s="236"/>
      <c r="AN760" s="378"/>
    </row>
    <row r="761" spans="1:40" s="506" customFormat="1" ht="19.5" customHeight="1">
      <c r="A761" s="263"/>
      <c r="B761" s="478" t="s">
        <v>620</v>
      </c>
      <c r="C761" s="502" t="s">
        <v>1267</v>
      </c>
      <c r="D761" s="502" t="s">
        <v>327</v>
      </c>
      <c r="E761" s="503"/>
      <c r="F761" s="504">
        <v>200</v>
      </c>
      <c r="G761" s="504">
        <v>200</v>
      </c>
      <c r="H761" s="504">
        <v>200</v>
      </c>
      <c r="I761" s="237">
        <v>200</v>
      </c>
      <c r="J761" s="237"/>
      <c r="K761" s="237">
        <v>200</v>
      </c>
      <c r="L761" s="237"/>
      <c r="M761" s="237"/>
      <c r="N761" s="239">
        <v>200</v>
      </c>
      <c r="O761" s="239"/>
      <c r="P761" s="239">
        <f t="shared" si="302"/>
        <v>200</v>
      </c>
      <c r="Q761" s="505">
        <v>200</v>
      </c>
      <c r="R761" s="307"/>
      <c r="S761" s="307"/>
      <c r="T761" s="307"/>
      <c r="U761" s="306"/>
      <c r="V761" s="240"/>
      <c r="W761" s="240"/>
      <c r="X761" s="240"/>
      <c r="Y761" s="240"/>
      <c r="Z761" s="308"/>
      <c r="AA761" s="308"/>
      <c r="AB761" s="241"/>
      <c r="AC761" s="242"/>
      <c r="AD761" s="259"/>
      <c r="AE761" s="308"/>
      <c r="AF761" s="308"/>
      <c r="AG761" s="240"/>
      <c r="AH761" s="240"/>
      <c r="AI761" s="240"/>
      <c r="AJ761" s="240"/>
      <c r="AK761" s="308"/>
      <c r="AL761" s="244"/>
      <c r="AM761" s="236"/>
      <c r="AN761" s="378"/>
    </row>
    <row r="762" spans="1:40" s="506" customFormat="1" ht="19.5" customHeight="1">
      <c r="A762" s="263"/>
      <c r="B762" s="478" t="s">
        <v>621</v>
      </c>
      <c r="C762" s="502" t="s">
        <v>1267</v>
      </c>
      <c r="D762" s="502" t="s">
        <v>327</v>
      </c>
      <c r="E762" s="503"/>
      <c r="F762" s="504">
        <v>1122</v>
      </c>
      <c r="G762" s="504">
        <v>1122</v>
      </c>
      <c r="H762" s="504">
        <v>1122</v>
      </c>
      <c r="I762" s="237">
        <v>1122</v>
      </c>
      <c r="J762" s="237"/>
      <c r="K762" s="237">
        <v>1122</v>
      </c>
      <c r="L762" s="237"/>
      <c r="M762" s="237"/>
      <c r="N762" s="239">
        <v>1122</v>
      </c>
      <c r="O762" s="239"/>
      <c r="P762" s="239">
        <f t="shared" si="302"/>
        <v>1122</v>
      </c>
      <c r="Q762" s="505">
        <v>1122</v>
      </c>
      <c r="R762" s="307"/>
      <c r="S762" s="307"/>
      <c r="T762" s="307"/>
      <c r="U762" s="306"/>
      <c r="V762" s="240"/>
      <c r="W762" s="240"/>
      <c r="X762" s="240"/>
      <c r="Y762" s="240"/>
      <c r="Z762" s="308"/>
      <c r="AA762" s="308"/>
      <c r="AB762" s="241"/>
      <c r="AC762" s="242"/>
      <c r="AD762" s="259"/>
      <c r="AE762" s="308"/>
      <c r="AF762" s="308"/>
      <c r="AG762" s="240"/>
      <c r="AH762" s="240"/>
      <c r="AI762" s="240"/>
      <c r="AJ762" s="240"/>
      <c r="AK762" s="308"/>
      <c r="AL762" s="244"/>
      <c r="AM762" s="236"/>
      <c r="AN762" s="378"/>
    </row>
    <row r="763" spans="1:40" s="506" customFormat="1" ht="19.5" customHeight="1">
      <c r="A763" s="263"/>
      <c r="B763" s="478" t="s">
        <v>622</v>
      </c>
      <c r="C763" s="502" t="s">
        <v>623</v>
      </c>
      <c r="D763" s="502" t="s">
        <v>1339</v>
      </c>
      <c r="E763" s="503"/>
      <c r="F763" s="504">
        <v>2000</v>
      </c>
      <c r="G763" s="504">
        <v>1995.9</v>
      </c>
      <c r="H763" s="504">
        <v>1000</v>
      </c>
      <c r="I763" s="237">
        <v>1000</v>
      </c>
      <c r="J763" s="237"/>
      <c r="K763" s="237">
        <v>1000</v>
      </c>
      <c r="L763" s="237"/>
      <c r="M763" s="237"/>
      <c r="N763" s="239">
        <v>995.9</v>
      </c>
      <c r="O763" s="239"/>
      <c r="P763" s="239">
        <f t="shared" si="302"/>
        <v>995.9</v>
      </c>
      <c r="Q763" s="505">
        <v>995.9</v>
      </c>
      <c r="R763" s="307"/>
      <c r="S763" s="307"/>
      <c r="T763" s="307"/>
      <c r="U763" s="306"/>
      <c r="V763" s="240"/>
      <c r="W763" s="240"/>
      <c r="X763" s="240"/>
      <c r="Y763" s="240"/>
      <c r="Z763" s="308"/>
      <c r="AA763" s="308"/>
      <c r="AB763" s="241"/>
      <c r="AC763" s="242"/>
      <c r="AD763" s="259"/>
      <c r="AE763" s="308"/>
      <c r="AF763" s="308"/>
      <c r="AG763" s="240"/>
      <c r="AH763" s="240"/>
      <c r="AI763" s="240"/>
      <c r="AJ763" s="240"/>
      <c r="AK763" s="308"/>
      <c r="AL763" s="244"/>
      <c r="AM763" s="236"/>
      <c r="AN763" s="378"/>
    </row>
    <row r="764" spans="1:40" s="506" customFormat="1" ht="19.5" customHeight="1">
      <c r="A764" s="263"/>
      <c r="B764" s="478" t="s">
        <v>624</v>
      </c>
      <c r="C764" s="502" t="s">
        <v>1267</v>
      </c>
      <c r="D764" s="502" t="s">
        <v>1339</v>
      </c>
      <c r="E764" s="503"/>
      <c r="F764" s="504">
        <v>2000</v>
      </c>
      <c r="G764" s="504">
        <v>1999.315</v>
      </c>
      <c r="H764" s="504">
        <v>1000</v>
      </c>
      <c r="I764" s="237">
        <v>1000</v>
      </c>
      <c r="J764" s="237"/>
      <c r="K764" s="237">
        <v>1000</v>
      </c>
      <c r="L764" s="237"/>
      <c r="M764" s="237"/>
      <c r="N764" s="239">
        <v>999.315</v>
      </c>
      <c r="O764" s="239"/>
      <c r="P764" s="239">
        <f t="shared" si="302"/>
        <v>999.315</v>
      </c>
      <c r="Q764" s="505">
        <v>999.315</v>
      </c>
      <c r="R764" s="307"/>
      <c r="S764" s="307"/>
      <c r="T764" s="307"/>
      <c r="U764" s="306"/>
      <c r="V764" s="240"/>
      <c r="W764" s="240"/>
      <c r="X764" s="240"/>
      <c r="Y764" s="240"/>
      <c r="Z764" s="308"/>
      <c r="AA764" s="308"/>
      <c r="AB764" s="241"/>
      <c r="AC764" s="242"/>
      <c r="AD764" s="259"/>
      <c r="AE764" s="308"/>
      <c r="AF764" s="308"/>
      <c r="AG764" s="240"/>
      <c r="AH764" s="240"/>
      <c r="AI764" s="240"/>
      <c r="AJ764" s="240"/>
      <c r="AK764" s="308"/>
      <c r="AL764" s="244"/>
      <c r="AM764" s="236"/>
      <c r="AN764" s="378"/>
    </row>
    <row r="765" spans="1:40" s="506" customFormat="1" ht="19.5" customHeight="1">
      <c r="A765" s="263"/>
      <c r="B765" s="478" t="s">
        <v>625</v>
      </c>
      <c r="C765" s="502" t="s">
        <v>1267</v>
      </c>
      <c r="D765" s="502" t="s">
        <v>1339</v>
      </c>
      <c r="E765" s="503"/>
      <c r="F765" s="504">
        <v>2000</v>
      </c>
      <c r="G765" s="504">
        <v>1998.568</v>
      </c>
      <c r="H765" s="504">
        <v>1000</v>
      </c>
      <c r="I765" s="237">
        <v>1000</v>
      </c>
      <c r="J765" s="237"/>
      <c r="K765" s="237">
        <v>1000</v>
      </c>
      <c r="L765" s="237"/>
      <c r="M765" s="237"/>
      <c r="N765" s="239">
        <v>998.568</v>
      </c>
      <c r="O765" s="239"/>
      <c r="P765" s="239">
        <f t="shared" si="302"/>
        <v>998.568</v>
      </c>
      <c r="Q765" s="505">
        <v>998.568</v>
      </c>
      <c r="R765" s="307"/>
      <c r="S765" s="307"/>
      <c r="T765" s="307"/>
      <c r="U765" s="306"/>
      <c r="V765" s="240"/>
      <c r="W765" s="240"/>
      <c r="X765" s="240"/>
      <c r="Y765" s="240"/>
      <c r="Z765" s="308"/>
      <c r="AA765" s="308"/>
      <c r="AB765" s="241"/>
      <c r="AC765" s="242"/>
      <c r="AD765" s="259"/>
      <c r="AE765" s="308"/>
      <c r="AF765" s="308"/>
      <c r="AG765" s="240"/>
      <c r="AH765" s="240"/>
      <c r="AI765" s="240"/>
      <c r="AJ765" s="240"/>
      <c r="AK765" s="308"/>
      <c r="AL765" s="244"/>
      <c r="AM765" s="236"/>
      <c r="AN765" s="378"/>
    </row>
    <row r="766" spans="1:40" s="506" customFormat="1" ht="34.5" customHeight="1">
      <c r="A766" s="263"/>
      <c r="B766" s="478" t="s">
        <v>626</v>
      </c>
      <c r="C766" s="502" t="s">
        <v>1267</v>
      </c>
      <c r="D766" s="502" t="s">
        <v>1339</v>
      </c>
      <c r="E766" s="503"/>
      <c r="F766" s="504">
        <v>2000</v>
      </c>
      <c r="G766" s="504">
        <v>1990.513</v>
      </c>
      <c r="H766" s="504">
        <v>1000</v>
      </c>
      <c r="I766" s="237">
        <v>1000</v>
      </c>
      <c r="J766" s="237"/>
      <c r="K766" s="237">
        <v>1000</v>
      </c>
      <c r="L766" s="237"/>
      <c r="M766" s="237"/>
      <c r="N766" s="239">
        <v>990.513</v>
      </c>
      <c r="O766" s="239"/>
      <c r="P766" s="239">
        <f t="shared" si="302"/>
        <v>990.513</v>
      </c>
      <c r="Q766" s="505">
        <v>990.513</v>
      </c>
      <c r="R766" s="307"/>
      <c r="S766" s="307"/>
      <c r="T766" s="307"/>
      <c r="U766" s="306"/>
      <c r="V766" s="240"/>
      <c r="W766" s="240"/>
      <c r="X766" s="240"/>
      <c r="Y766" s="240"/>
      <c r="Z766" s="308"/>
      <c r="AA766" s="308"/>
      <c r="AB766" s="241"/>
      <c r="AC766" s="242"/>
      <c r="AD766" s="259"/>
      <c r="AE766" s="308"/>
      <c r="AF766" s="308"/>
      <c r="AG766" s="240"/>
      <c r="AH766" s="240"/>
      <c r="AI766" s="240"/>
      <c r="AJ766" s="240"/>
      <c r="AK766" s="308"/>
      <c r="AL766" s="244"/>
      <c r="AM766" s="236"/>
      <c r="AN766" s="378"/>
    </row>
    <row r="767" spans="1:40" s="506" customFormat="1" ht="19.5" customHeight="1">
      <c r="A767" s="263"/>
      <c r="B767" s="478" t="s">
        <v>627</v>
      </c>
      <c r="C767" s="502" t="s">
        <v>1267</v>
      </c>
      <c r="D767" s="502" t="s">
        <v>1339</v>
      </c>
      <c r="E767" s="503"/>
      <c r="F767" s="504">
        <v>2000</v>
      </c>
      <c r="G767" s="504">
        <v>1998.508</v>
      </c>
      <c r="H767" s="504">
        <v>1000</v>
      </c>
      <c r="I767" s="237">
        <v>1000</v>
      </c>
      <c r="J767" s="237"/>
      <c r="K767" s="237">
        <v>1000</v>
      </c>
      <c r="L767" s="237"/>
      <c r="M767" s="237"/>
      <c r="N767" s="239">
        <v>998.508</v>
      </c>
      <c r="O767" s="239"/>
      <c r="P767" s="239">
        <f t="shared" si="302"/>
        <v>998.508</v>
      </c>
      <c r="Q767" s="505">
        <v>998.508</v>
      </c>
      <c r="R767" s="307"/>
      <c r="S767" s="307"/>
      <c r="T767" s="307"/>
      <c r="U767" s="306"/>
      <c r="V767" s="240"/>
      <c r="W767" s="240"/>
      <c r="X767" s="240"/>
      <c r="Y767" s="240"/>
      <c r="Z767" s="308"/>
      <c r="AA767" s="308"/>
      <c r="AB767" s="241"/>
      <c r="AC767" s="242"/>
      <c r="AD767" s="259"/>
      <c r="AE767" s="308"/>
      <c r="AF767" s="308"/>
      <c r="AG767" s="240"/>
      <c r="AH767" s="240"/>
      <c r="AI767" s="240"/>
      <c r="AJ767" s="240"/>
      <c r="AK767" s="308"/>
      <c r="AL767" s="244"/>
      <c r="AM767" s="236"/>
      <c r="AN767" s="378"/>
    </row>
    <row r="768" spans="1:40" s="506" customFormat="1" ht="28.5" customHeight="1">
      <c r="A768" s="263"/>
      <c r="B768" s="478" t="s">
        <v>628</v>
      </c>
      <c r="C768" s="502" t="s">
        <v>1267</v>
      </c>
      <c r="D768" s="502" t="s">
        <v>1339</v>
      </c>
      <c r="E768" s="503"/>
      <c r="F768" s="504">
        <v>2000</v>
      </c>
      <c r="G768" s="504">
        <v>1998.908</v>
      </c>
      <c r="H768" s="504">
        <v>1000</v>
      </c>
      <c r="I768" s="237">
        <v>1000</v>
      </c>
      <c r="J768" s="237"/>
      <c r="K768" s="237">
        <v>1000</v>
      </c>
      <c r="L768" s="237"/>
      <c r="M768" s="237"/>
      <c r="N768" s="239">
        <v>998.908</v>
      </c>
      <c r="O768" s="239"/>
      <c r="P768" s="239">
        <f t="shared" si="302"/>
        <v>998.908</v>
      </c>
      <c r="Q768" s="505">
        <v>998.908</v>
      </c>
      <c r="R768" s="307"/>
      <c r="S768" s="307"/>
      <c r="T768" s="307"/>
      <c r="U768" s="306"/>
      <c r="V768" s="240"/>
      <c r="W768" s="240"/>
      <c r="X768" s="240"/>
      <c r="Y768" s="240"/>
      <c r="Z768" s="308"/>
      <c r="AA768" s="308"/>
      <c r="AB768" s="241"/>
      <c r="AC768" s="242"/>
      <c r="AD768" s="259"/>
      <c r="AE768" s="308"/>
      <c r="AF768" s="308"/>
      <c r="AG768" s="240"/>
      <c r="AH768" s="240"/>
      <c r="AI768" s="240"/>
      <c r="AJ768" s="240"/>
      <c r="AK768" s="308"/>
      <c r="AL768" s="244"/>
      <c r="AM768" s="236"/>
      <c r="AN768" s="378"/>
    </row>
    <row r="769" spans="1:40" s="506" customFormat="1" ht="19.5" customHeight="1">
      <c r="A769" s="263"/>
      <c r="B769" s="478" t="s">
        <v>629</v>
      </c>
      <c r="C769" s="502" t="s">
        <v>1267</v>
      </c>
      <c r="D769" s="502" t="s">
        <v>1339</v>
      </c>
      <c r="E769" s="503"/>
      <c r="F769" s="504">
        <v>2000</v>
      </c>
      <c r="G769" s="504">
        <v>1999.533</v>
      </c>
      <c r="H769" s="504">
        <v>1000</v>
      </c>
      <c r="I769" s="237">
        <v>1000</v>
      </c>
      <c r="J769" s="237"/>
      <c r="K769" s="237">
        <v>1000</v>
      </c>
      <c r="L769" s="237"/>
      <c r="M769" s="237"/>
      <c r="N769" s="239">
        <v>999.533</v>
      </c>
      <c r="O769" s="239"/>
      <c r="P769" s="239">
        <f t="shared" si="302"/>
        <v>999.533</v>
      </c>
      <c r="Q769" s="505">
        <v>999.533</v>
      </c>
      <c r="R769" s="307"/>
      <c r="S769" s="307"/>
      <c r="T769" s="307"/>
      <c r="U769" s="306"/>
      <c r="V769" s="240"/>
      <c r="W769" s="240"/>
      <c r="X769" s="240"/>
      <c r="Y769" s="240"/>
      <c r="Z769" s="308"/>
      <c r="AA769" s="308"/>
      <c r="AB769" s="241"/>
      <c r="AC769" s="242"/>
      <c r="AD769" s="259"/>
      <c r="AE769" s="308"/>
      <c r="AF769" s="308"/>
      <c r="AG769" s="240"/>
      <c r="AH769" s="240"/>
      <c r="AI769" s="240"/>
      <c r="AJ769" s="240"/>
      <c r="AK769" s="308"/>
      <c r="AL769" s="244"/>
      <c r="AM769" s="236"/>
      <c r="AN769" s="378"/>
    </row>
    <row r="770" spans="1:40" s="506" customFormat="1" ht="19.5" customHeight="1">
      <c r="A770" s="263"/>
      <c r="B770" s="478" t="s">
        <v>630</v>
      </c>
      <c r="C770" s="502" t="s">
        <v>1267</v>
      </c>
      <c r="D770" s="502" t="s">
        <v>1339</v>
      </c>
      <c r="E770" s="503"/>
      <c r="F770" s="504">
        <v>2000</v>
      </c>
      <c r="G770" s="504">
        <v>1999.061</v>
      </c>
      <c r="H770" s="504">
        <v>1000</v>
      </c>
      <c r="I770" s="237">
        <v>1000</v>
      </c>
      <c r="J770" s="237"/>
      <c r="K770" s="237">
        <v>1000</v>
      </c>
      <c r="L770" s="237"/>
      <c r="M770" s="237"/>
      <c r="N770" s="239">
        <v>999.061</v>
      </c>
      <c r="O770" s="239"/>
      <c r="P770" s="239">
        <f t="shared" si="302"/>
        <v>999.061</v>
      </c>
      <c r="Q770" s="505">
        <v>999.061</v>
      </c>
      <c r="R770" s="307"/>
      <c r="S770" s="307"/>
      <c r="T770" s="307"/>
      <c r="U770" s="306"/>
      <c r="V770" s="240"/>
      <c r="W770" s="240"/>
      <c r="X770" s="240"/>
      <c r="Y770" s="240"/>
      <c r="Z770" s="308"/>
      <c r="AA770" s="308"/>
      <c r="AB770" s="241"/>
      <c r="AC770" s="242"/>
      <c r="AD770" s="259"/>
      <c r="AE770" s="308"/>
      <c r="AF770" s="308"/>
      <c r="AG770" s="240"/>
      <c r="AH770" s="240"/>
      <c r="AI770" s="240"/>
      <c r="AJ770" s="240"/>
      <c r="AK770" s="308"/>
      <c r="AL770" s="244"/>
      <c r="AM770" s="236"/>
      <c r="AN770" s="378"/>
    </row>
    <row r="771" spans="1:40" s="506" customFormat="1" ht="19.5" customHeight="1">
      <c r="A771" s="263"/>
      <c r="B771" s="478" t="s">
        <v>631</v>
      </c>
      <c r="C771" s="502" t="s">
        <v>1267</v>
      </c>
      <c r="D771" s="502" t="s">
        <v>1339</v>
      </c>
      <c r="E771" s="503"/>
      <c r="F771" s="504">
        <v>2000</v>
      </c>
      <c r="G771" s="504">
        <v>1977.509</v>
      </c>
      <c r="H771" s="504">
        <v>1000</v>
      </c>
      <c r="I771" s="237">
        <v>1000</v>
      </c>
      <c r="J771" s="237"/>
      <c r="K771" s="237">
        <v>1000</v>
      </c>
      <c r="L771" s="237"/>
      <c r="M771" s="237"/>
      <c r="N771" s="239">
        <v>977.509</v>
      </c>
      <c r="O771" s="239"/>
      <c r="P771" s="239">
        <f t="shared" si="302"/>
        <v>977.509</v>
      </c>
      <c r="Q771" s="505">
        <v>977.509</v>
      </c>
      <c r="R771" s="307"/>
      <c r="S771" s="307"/>
      <c r="T771" s="307"/>
      <c r="U771" s="306"/>
      <c r="V771" s="240"/>
      <c r="W771" s="240"/>
      <c r="X771" s="240"/>
      <c r="Y771" s="240"/>
      <c r="Z771" s="308"/>
      <c r="AA771" s="308"/>
      <c r="AB771" s="241"/>
      <c r="AC771" s="242"/>
      <c r="AD771" s="259"/>
      <c r="AE771" s="308"/>
      <c r="AF771" s="308"/>
      <c r="AG771" s="240"/>
      <c r="AH771" s="240"/>
      <c r="AI771" s="240"/>
      <c r="AJ771" s="240"/>
      <c r="AK771" s="308"/>
      <c r="AL771" s="244"/>
      <c r="AM771" s="236"/>
      <c r="AN771" s="378"/>
    </row>
    <row r="772" spans="1:40" s="506" customFormat="1" ht="25.5" customHeight="1">
      <c r="A772" s="263"/>
      <c r="B772" s="478" t="s">
        <v>632</v>
      </c>
      <c r="C772" s="502" t="s">
        <v>1267</v>
      </c>
      <c r="D772" s="502" t="s">
        <v>1339</v>
      </c>
      <c r="E772" s="503"/>
      <c r="F772" s="504">
        <v>2000</v>
      </c>
      <c r="G772" s="504">
        <v>1998.942</v>
      </c>
      <c r="H772" s="504">
        <v>1000</v>
      </c>
      <c r="I772" s="237">
        <v>1000</v>
      </c>
      <c r="J772" s="237"/>
      <c r="K772" s="237">
        <v>1000</v>
      </c>
      <c r="L772" s="237"/>
      <c r="M772" s="237"/>
      <c r="N772" s="239">
        <v>998.942</v>
      </c>
      <c r="O772" s="239"/>
      <c r="P772" s="239">
        <f t="shared" si="302"/>
        <v>998.942</v>
      </c>
      <c r="Q772" s="505">
        <v>998.942</v>
      </c>
      <c r="R772" s="307"/>
      <c r="S772" s="307"/>
      <c r="T772" s="307"/>
      <c r="U772" s="306"/>
      <c r="V772" s="240"/>
      <c r="W772" s="240"/>
      <c r="X772" s="240"/>
      <c r="Y772" s="240"/>
      <c r="Z772" s="308"/>
      <c r="AA772" s="308"/>
      <c r="AB772" s="241"/>
      <c r="AC772" s="242"/>
      <c r="AD772" s="259"/>
      <c r="AE772" s="308"/>
      <c r="AF772" s="308"/>
      <c r="AG772" s="240"/>
      <c r="AH772" s="240"/>
      <c r="AI772" s="240"/>
      <c r="AJ772" s="240"/>
      <c r="AK772" s="308"/>
      <c r="AL772" s="244"/>
      <c r="AM772" s="236"/>
      <c r="AN772" s="378"/>
    </row>
    <row r="773" spans="1:40" s="506" customFormat="1" ht="19.5" customHeight="1">
      <c r="A773" s="263"/>
      <c r="B773" s="478" t="s">
        <v>633</v>
      </c>
      <c r="C773" s="502" t="s">
        <v>1267</v>
      </c>
      <c r="D773" s="502" t="s">
        <v>1339</v>
      </c>
      <c r="E773" s="503"/>
      <c r="F773" s="504">
        <v>2000</v>
      </c>
      <c r="G773" s="504">
        <v>1999.509</v>
      </c>
      <c r="H773" s="504">
        <v>1000</v>
      </c>
      <c r="I773" s="237">
        <v>1000</v>
      </c>
      <c r="J773" s="237"/>
      <c r="K773" s="237">
        <v>1000</v>
      </c>
      <c r="L773" s="237"/>
      <c r="M773" s="237"/>
      <c r="N773" s="239">
        <v>999.509</v>
      </c>
      <c r="O773" s="239"/>
      <c r="P773" s="239">
        <f t="shared" si="302"/>
        <v>999.509</v>
      </c>
      <c r="Q773" s="505">
        <v>999.509</v>
      </c>
      <c r="R773" s="307"/>
      <c r="S773" s="307"/>
      <c r="T773" s="307"/>
      <c r="U773" s="306"/>
      <c r="V773" s="240"/>
      <c r="W773" s="240"/>
      <c r="X773" s="240"/>
      <c r="Y773" s="240"/>
      <c r="Z773" s="308"/>
      <c r="AA773" s="308"/>
      <c r="AB773" s="241"/>
      <c r="AC773" s="242"/>
      <c r="AD773" s="259"/>
      <c r="AE773" s="308"/>
      <c r="AF773" s="308"/>
      <c r="AG773" s="240"/>
      <c r="AH773" s="240"/>
      <c r="AI773" s="240"/>
      <c r="AJ773" s="240"/>
      <c r="AK773" s="308"/>
      <c r="AL773" s="244"/>
      <c r="AM773" s="236"/>
      <c r="AN773" s="378"/>
    </row>
    <row r="774" spans="1:40" s="506" customFormat="1" ht="19.5" customHeight="1">
      <c r="A774" s="263"/>
      <c r="B774" s="478" t="s">
        <v>634</v>
      </c>
      <c r="C774" s="502" t="s">
        <v>1267</v>
      </c>
      <c r="D774" s="502" t="s">
        <v>335</v>
      </c>
      <c r="E774" s="503"/>
      <c r="F774" s="504">
        <v>1600</v>
      </c>
      <c r="G774" s="504">
        <v>1500.186</v>
      </c>
      <c r="H774" s="504">
        <v>0</v>
      </c>
      <c r="I774" s="237">
        <v>609</v>
      </c>
      <c r="J774" s="237"/>
      <c r="K774" s="237">
        <v>609</v>
      </c>
      <c r="L774" s="237"/>
      <c r="M774" s="237"/>
      <c r="N774" s="239">
        <v>609</v>
      </c>
      <c r="O774" s="239"/>
      <c r="P774" s="239">
        <f t="shared" si="302"/>
        <v>609</v>
      </c>
      <c r="Q774" s="505">
        <v>609</v>
      </c>
      <c r="R774" s="307"/>
      <c r="S774" s="307"/>
      <c r="T774" s="307"/>
      <c r="U774" s="306"/>
      <c r="V774" s="240"/>
      <c r="W774" s="240"/>
      <c r="X774" s="240"/>
      <c r="Y774" s="240"/>
      <c r="Z774" s="308"/>
      <c r="AA774" s="308"/>
      <c r="AB774" s="241"/>
      <c r="AC774" s="242"/>
      <c r="AD774" s="259"/>
      <c r="AE774" s="308"/>
      <c r="AF774" s="308"/>
      <c r="AG774" s="240"/>
      <c r="AH774" s="240"/>
      <c r="AI774" s="240"/>
      <c r="AJ774" s="240"/>
      <c r="AK774" s="308"/>
      <c r="AL774" s="244"/>
      <c r="AM774" s="236"/>
      <c r="AN774" s="378"/>
    </row>
    <row r="775" spans="1:40" s="506" customFormat="1" ht="19.5" customHeight="1">
      <c r="A775" s="263"/>
      <c r="B775" s="478" t="s">
        <v>635</v>
      </c>
      <c r="C775" s="502" t="s">
        <v>1634</v>
      </c>
      <c r="D775" s="502"/>
      <c r="E775" s="503"/>
      <c r="F775" s="504">
        <v>1399.9</v>
      </c>
      <c r="G775" s="504"/>
      <c r="H775" s="504"/>
      <c r="I775" s="237">
        <v>728.493</v>
      </c>
      <c r="J775" s="237"/>
      <c r="K775" s="237">
        <v>728.493</v>
      </c>
      <c r="L775" s="237"/>
      <c r="M775" s="237"/>
      <c r="N775" s="239"/>
      <c r="O775" s="239"/>
      <c r="P775" s="239"/>
      <c r="Q775" s="505"/>
      <c r="R775" s="307"/>
      <c r="S775" s="307"/>
      <c r="T775" s="307"/>
      <c r="U775" s="306"/>
      <c r="V775" s="240"/>
      <c r="W775" s="240"/>
      <c r="X775" s="240"/>
      <c r="Y775" s="240"/>
      <c r="Z775" s="308"/>
      <c r="AA775" s="308"/>
      <c r="AB775" s="241"/>
      <c r="AC775" s="242"/>
      <c r="AD775" s="259"/>
      <c r="AE775" s="308"/>
      <c r="AF775" s="308"/>
      <c r="AG775" s="240"/>
      <c r="AH775" s="240"/>
      <c r="AI775" s="240"/>
      <c r="AJ775" s="240"/>
      <c r="AK775" s="308"/>
      <c r="AL775" s="244"/>
      <c r="AM775" s="236"/>
      <c r="AN775" s="378"/>
    </row>
    <row r="776" spans="1:40" s="506" customFormat="1" ht="19.5" customHeight="1">
      <c r="A776" s="263"/>
      <c r="B776" s="478" t="s">
        <v>636</v>
      </c>
      <c r="C776" s="502" t="s">
        <v>1267</v>
      </c>
      <c r="D776" s="502"/>
      <c r="E776" s="503"/>
      <c r="F776" s="504">
        <v>1979.772</v>
      </c>
      <c r="G776" s="504"/>
      <c r="H776" s="504"/>
      <c r="I776" s="237">
        <f>SUM(K776,M776)</f>
        <v>1979</v>
      </c>
      <c r="J776" s="307">
        <v>700</v>
      </c>
      <c r="K776" s="237">
        <f>1279+700</f>
        <v>1979</v>
      </c>
      <c r="L776" s="237"/>
      <c r="M776" s="237"/>
      <c r="N776" s="239">
        <f>SUM(P776,U776)</f>
        <v>1867.62</v>
      </c>
      <c r="O776" s="307">
        <v>700</v>
      </c>
      <c r="P776" s="239">
        <f>SUM(Q776:S776)</f>
        <v>1867.62</v>
      </c>
      <c r="Q776" s="505">
        <v>1167.62</v>
      </c>
      <c r="R776" s="307">
        <v>700</v>
      </c>
      <c r="S776" s="307"/>
      <c r="T776" s="307"/>
      <c r="U776" s="306"/>
      <c r="V776" s="240"/>
      <c r="W776" s="240"/>
      <c r="X776" s="240"/>
      <c r="Y776" s="240"/>
      <c r="Z776" s="308"/>
      <c r="AA776" s="308"/>
      <c r="AB776" s="241"/>
      <c r="AC776" s="242"/>
      <c r="AD776" s="259"/>
      <c r="AE776" s="308"/>
      <c r="AF776" s="308"/>
      <c r="AG776" s="240"/>
      <c r="AH776" s="240"/>
      <c r="AI776" s="240"/>
      <c r="AJ776" s="240"/>
      <c r="AK776" s="308"/>
      <c r="AL776" s="244"/>
      <c r="AM776" s="236"/>
      <c r="AN776" s="378"/>
    </row>
    <row r="777" spans="1:40" s="506" customFormat="1" ht="19.5" customHeight="1">
      <c r="A777" s="263"/>
      <c r="B777" s="478" t="s">
        <v>637</v>
      </c>
      <c r="C777" s="502" t="s">
        <v>1267</v>
      </c>
      <c r="D777" s="502"/>
      <c r="E777" s="503"/>
      <c r="F777" s="504">
        <v>1746.746</v>
      </c>
      <c r="G777" s="504"/>
      <c r="H777" s="504"/>
      <c r="I777" s="237">
        <f aca="true" t="shared" si="303" ref="I777:I785">SUM(K777,M777)</f>
        <v>1746</v>
      </c>
      <c r="J777" s="307">
        <v>615</v>
      </c>
      <c r="K777" s="237">
        <f>1131+615</f>
        <v>1746</v>
      </c>
      <c r="L777" s="237"/>
      <c r="M777" s="237"/>
      <c r="N777" s="239">
        <f aca="true" t="shared" si="304" ref="N777:N785">SUM(P777,U777)</f>
        <v>1742.1</v>
      </c>
      <c r="O777" s="307">
        <v>615</v>
      </c>
      <c r="P777" s="239">
        <f>SUM(Q777:S777)</f>
        <v>1742.1</v>
      </c>
      <c r="Q777" s="505">
        <v>1127.1</v>
      </c>
      <c r="R777" s="307">
        <v>615</v>
      </c>
      <c r="S777" s="307"/>
      <c r="T777" s="307"/>
      <c r="U777" s="306"/>
      <c r="V777" s="240"/>
      <c r="W777" s="240"/>
      <c r="X777" s="240"/>
      <c r="Y777" s="240"/>
      <c r="Z777" s="308"/>
      <c r="AA777" s="308"/>
      <c r="AB777" s="241"/>
      <c r="AC777" s="242"/>
      <c r="AD777" s="259"/>
      <c r="AE777" s="308"/>
      <c r="AF777" s="308"/>
      <c r="AG777" s="240"/>
      <c r="AH777" s="240"/>
      <c r="AI777" s="240"/>
      <c r="AJ777" s="240"/>
      <c r="AK777" s="308"/>
      <c r="AL777" s="244"/>
      <c r="AM777" s="236"/>
      <c r="AN777" s="378"/>
    </row>
    <row r="778" spans="1:40" s="506" customFormat="1" ht="19.5" customHeight="1">
      <c r="A778" s="263"/>
      <c r="B778" s="478" t="s">
        <v>638</v>
      </c>
      <c r="C778" s="502" t="s">
        <v>1267</v>
      </c>
      <c r="D778" s="502"/>
      <c r="E778" s="503"/>
      <c r="F778" s="504">
        <v>1400</v>
      </c>
      <c r="G778" s="504"/>
      <c r="H778" s="504"/>
      <c r="I778" s="237">
        <f t="shared" si="303"/>
        <v>1400</v>
      </c>
      <c r="J778" s="307">
        <v>494</v>
      </c>
      <c r="K778" s="237">
        <f>906+494</f>
        <v>1400</v>
      </c>
      <c r="L778" s="237"/>
      <c r="M778" s="237"/>
      <c r="N778" s="239">
        <f t="shared" si="304"/>
        <v>1378.19</v>
      </c>
      <c r="O778" s="307">
        <v>494</v>
      </c>
      <c r="P778" s="239">
        <f aca="true" t="shared" si="305" ref="P778:P783">SUM(Q778:S778)</f>
        <v>1378.19</v>
      </c>
      <c r="Q778" s="505">
        <v>884.19</v>
      </c>
      <c r="R778" s="307">
        <v>494</v>
      </c>
      <c r="S778" s="307"/>
      <c r="T778" s="307"/>
      <c r="U778" s="306"/>
      <c r="V778" s="240"/>
      <c r="W778" s="240"/>
      <c r="X778" s="240"/>
      <c r="Y778" s="240"/>
      <c r="Z778" s="308"/>
      <c r="AA778" s="308"/>
      <c r="AB778" s="241"/>
      <c r="AC778" s="242"/>
      <c r="AD778" s="259"/>
      <c r="AE778" s="308"/>
      <c r="AF778" s="308"/>
      <c r="AG778" s="240"/>
      <c r="AH778" s="240"/>
      <c r="AI778" s="240"/>
      <c r="AJ778" s="240"/>
      <c r="AK778" s="308"/>
      <c r="AL778" s="244"/>
      <c r="AM778" s="236"/>
      <c r="AN778" s="378"/>
    </row>
    <row r="779" spans="1:40" s="506" customFormat="1" ht="19.5" customHeight="1">
      <c r="A779" s="263"/>
      <c r="B779" s="478" t="s">
        <v>639</v>
      </c>
      <c r="C779" s="502" t="s">
        <v>1267</v>
      </c>
      <c r="D779" s="502"/>
      <c r="E779" s="503"/>
      <c r="F779" s="504">
        <v>2457.224</v>
      </c>
      <c r="G779" s="504"/>
      <c r="H779" s="504"/>
      <c r="I779" s="237">
        <f t="shared" si="303"/>
        <v>2457</v>
      </c>
      <c r="J779" s="307">
        <v>860</v>
      </c>
      <c r="K779" s="237">
        <f>1597+860</f>
        <v>2457</v>
      </c>
      <c r="L779" s="237"/>
      <c r="M779" s="237"/>
      <c r="N779" s="239">
        <f t="shared" si="304"/>
        <v>2425.6099999999997</v>
      </c>
      <c r="O779" s="307">
        <v>860</v>
      </c>
      <c r="P779" s="239">
        <f t="shared" si="305"/>
        <v>2425.6099999999997</v>
      </c>
      <c r="Q779" s="505">
        <v>1565.61</v>
      </c>
      <c r="R779" s="307">
        <v>860</v>
      </c>
      <c r="S779" s="307"/>
      <c r="T779" s="307"/>
      <c r="U779" s="306"/>
      <c r="V779" s="240"/>
      <c r="W779" s="240"/>
      <c r="X779" s="240"/>
      <c r="Y779" s="240"/>
      <c r="Z779" s="308"/>
      <c r="AA779" s="308"/>
      <c r="AB779" s="241"/>
      <c r="AC779" s="242"/>
      <c r="AD779" s="259"/>
      <c r="AE779" s="308"/>
      <c r="AF779" s="308"/>
      <c r="AG779" s="240"/>
      <c r="AH779" s="240"/>
      <c r="AI779" s="240"/>
      <c r="AJ779" s="240"/>
      <c r="AK779" s="308"/>
      <c r="AL779" s="244"/>
      <c r="AM779" s="236"/>
      <c r="AN779" s="378"/>
    </row>
    <row r="780" spans="1:40" s="506" customFormat="1" ht="19.5" customHeight="1">
      <c r="A780" s="263"/>
      <c r="B780" s="478" t="s">
        <v>640</v>
      </c>
      <c r="C780" s="502" t="s">
        <v>1267</v>
      </c>
      <c r="D780" s="502"/>
      <c r="E780" s="503"/>
      <c r="F780" s="504">
        <v>1409.627</v>
      </c>
      <c r="G780" s="504"/>
      <c r="H780" s="504"/>
      <c r="I780" s="237">
        <f t="shared" si="303"/>
        <v>1409</v>
      </c>
      <c r="J780" s="307">
        <v>500</v>
      </c>
      <c r="K780" s="237">
        <f>909+500</f>
        <v>1409</v>
      </c>
      <c r="L780" s="237"/>
      <c r="M780" s="237"/>
      <c r="N780" s="239">
        <f t="shared" si="304"/>
        <v>1328.5</v>
      </c>
      <c r="O780" s="307">
        <v>500</v>
      </c>
      <c r="P780" s="239">
        <f t="shared" si="305"/>
        <v>1328.5</v>
      </c>
      <c r="Q780" s="505">
        <v>828.5</v>
      </c>
      <c r="R780" s="307">
        <v>500</v>
      </c>
      <c r="S780" s="307"/>
      <c r="T780" s="307"/>
      <c r="U780" s="306"/>
      <c r="V780" s="240"/>
      <c r="W780" s="240"/>
      <c r="X780" s="240"/>
      <c r="Y780" s="240"/>
      <c r="Z780" s="308"/>
      <c r="AA780" s="308"/>
      <c r="AB780" s="241"/>
      <c r="AC780" s="242"/>
      <c r="AD780" s="259"/>
      <c r="AE780" s="308"/>
      <c r="AF780" s="308"/>
      <c r="AG780" s="240"/>
      <c r="AH780" s="240"/>
      <c r="AI780" s="240"/>
      <c r="AJ780" s="240"/>
      <c r="AK780" s="308"/>
      <c r="AL780" s="244"/>
      <c r="AM780" s="236"/>
      <c r="AN780" s="378"/>
    </row>
    <row r="781" spans="1:40" s="506" customFormat="1" ht="19.5" customHeight="1">
      <c r="A781" s="263"/>
      <c r="B781" s="478" t="s">
        <v>641</v>
      </c>
      <c r="C781" s="502" t="s">
        <v>1267</v>
      </c>
      <c r="D781" s="502"/>
      <c r="E781" s="503"/>
      <c r="F781" s="504">
        <v>2760.607</v>
      </c>
      <c r="G781" s="504"/>
      <c r="H781" s="504"/>
      <c r="I781" s="237">
        <f t="shared" si="303"/>
        <v>2760</v>
      </c>
      <c r="J781" s="307">
        <v>970</v>
      </c>
      <c r="K781" s="237">
        <f>1790+970</f>
        <v>2760</v>
      </c>
      <c r="L781" s="237"/>
      <c r="M781" s="237"/>
      <c r="N781" s="239">
        <f t="shared" si="304"/>
        <v>2618.15</v>
      </c>
      <c r="O781" s="307">
        <v>970</v>
      </c>
      <c r="P781" s="239">
        <f t="shared" si="305"/>
        <v>2618.15</v>
      </c>
      <c r="Q781" s="505">
        <v>1648.15</v>
      </c>
      <c r="R781" s="307">
        <v>970</v>
      </c>
      <c r="S781" s="307"/>
      <c r="T781" s="307"/>
      <c r="U781" s="306"/>
      <c r="V781" s="240"/>
      <c r="W781" s="240"/>
      <c r="X781" s="240"/>
      <c r="Y781" s="240"/>
      <c r="Z781" s="308"/>
      <c r="AA781" s="308"/>
      <c r="AB781" s="241"/>
      <c r="AC781" s="242"/>
      <c r="AD781" s="259"/>
      <c r="AE781" s="308"/>
      <c r="AF781" s="308"/>
      <c r="AG781" s="240"/>
      <c r="AH781" s="240"/>
      <c r="AI781" s="240"/>
      <c r="AJ781" s="240"/>
      <c r="AK781" s="308"/>
      <c r="AL781" s="244"/>
      <c r="AM781" s="236"/>
      <c r="AN781" s="378"/>
    </row>
    <row r="782" spans="1:40" s="506" customFormat="1" ht="19.5" customHeight="1">
      <c r="A782" s="263"/>
      <c r="B782" s="478" t="s">
        <v>642</v>
      </c>
      <c r="C782" s="502" t="s">
        <v>1267</v>
      </c>
      <c r="D782" s="502"/>
      <c r="E782" s="503"/>
      <c r="F782" s="504">
        <v>1200</v>
      </c>
      <c r="G782" s="504"/>
      <c r="H782" s="504"/>
      <c r="I782" s="237">
        <f t="shared" si="303"/>
        <v>1200</v>
      </c>
      <c r="J782" s="307">
        <v>470</v>
      </c>
      <c r="K782" s="237">
        <f>730+470</f>
        <v>1200</v>
      </c>
      <c r="L782" s="237"/>
      <c r="M782" s="237"/>
      <c r="N782" s="239">
        <f t="shared" si="304"/>
        <v>1122.81</v>
      </c>
      <c r="O782" s="307">
        <v>470</v>
      </c>
      <c r="P782" s="239">
        <f t="shared" si="305"/>
        <v>1122.81</v>
      </c>
      <c r="Q782" s="505">
        <v>652.81</v>
      </c>
      <c r="R782" s="307">
        <v>470</v>
      </c>
      <c r="S782" s="307"/>
      <c r="T782" s="307"/>
      <c r="U782" s="306"/>
      <c r="V782" s="240"/>
      <c r="W782" s="240"/>
      <c r="X782" s="240"/>
      <c r="Y782" s="240"/>
      <c r="Z782" s="308"/>
      <c r="AA782" s="308"/>
      <c r="AB782" s="241"/>
      <c r="AC782" s="242"/>
      <c r="AD782" s="259"/>
      <c r="AE782" s="308"/>
      <c r="AF782" s="308"/>
      <c r="AG782" s="240"/>
      <c r="AH782" s="240"/>
      <c r="AI782" s="240"/>
      <c r="AJ782" s="240"/>
      <c r="AK782" s="308"/>
      <c r="AL782" s="244"/>
      <c r="AM782" s="236"/>
      <c r="AN782" s="378"/>
    </row>
    <row r="783" spans="1:40" s="506" customFormat="1" ht="19.5" customHeight="1">
      <c r="A783" s="263"/>
      <c r="B783" s="478" t="s">
        <v>643</v>
      </c>
      <c r="C783" s="502" t="s">
        <v>1267</v>
      </c>
      <c r="D783" s="502"/>
      <c r="E783" s="503"/>
      <c r="F783" s="504">
        <v>1868.582</v>
      </c>
      <c r="G783" s="504"/>
      <c r="H783" s="504"/>
      <c r="I783" s="237">
        <f t="shared" si="303"/>
        <v>1868</v>
      </c>
      <c r="J783" s="307">
        <v>644</v>
      </c>
      <c r="K783" s="237">
        <f>1224+644</f>
        <v>1868</v>
      </c>
      <c r="L783" s="237"/>
      <c r="M783" s="237"/>
      <c r="N783" s="239">
        <f t="shared" si="304"/>
        <v>1854.06</v>
      </c>
      <c r="O783" s="307">
        <v>644</v>
      </c>
      <c r="P783" s="239">
        <f t="shared" si="305"/>
        <v>1854.06</v>
      </c>
      <c r="Q783" s="505">
        <v>1210.06</v>
      </c>
      <c r="R783" s="307">
        <v>644</v>
      </c>
      <c r="S783" s="307"/>
      <c r="T783" s="307"/>
      <c r="U783" s="306"/>
      <c r="V783" s="240"/>
      <c r="W783" s="240"/>
      <c r="X783" s="240"/>
      <c r="Y783" s="240"/>
      <c r="Z783" s="308"/>
      <c r="AA783" s="308"/>
      <c r="AB783" s="241"/>
      <c r="AC783" s="242"/>
      <c r="AD783" s="259"/>
      <c r="AE783" s="308"/>
      <c r="AF783" s="308"/>
      <c r="AG783" s="240"/>
      <c r="AH783" s="240"/>
      <c r="AI783" s="240"/>
      <c r="AJ783" s="240"/>
      <c r="AK783" s="308"/>
      <c r="AL783" s="244"/>
      <c r="AM783" s="236"/>
      <c r="AN783" s="378"/>
    </row>
    <row r="784" spans="1:40" s="506" customFormat="1" ht="19.5" customHeight="1">
      <c r="A784" s="263"/>
      <c r="B784" s="551" t="s">
        <v>644</v>
      </c>
      <c r="C784" s="502" t="s">
        <v>1267</v>
      </c>
      <c r="D784" s="502"/>
      <c r="E784" s="503"/>
      <c r="F784" s="552">
        <v>8441.74</v>
      </c>
      <c r="G784" s="504"/>
      <c r="H784" s="504"/>
      <c r="I784" s="237">
        <f t="shared" si="303"/>
        <v>305</v>
      </c>
      <c r="J784" s="237"/>
      <c r="K784" s="553">
        <v>305</v>
      </c>
      <c r="L784" s="237"/>
      <c r="M784" s="237"/>
      <c r="N784" s="239">
        <f t="shared" si="304"/>
        <v>305</v>
      </c>
      <c r="O784" s="239"/>
      <c r="P784" s="239">
        <f>SUM(Q784:S784)</f>
        <v>305</v>
      </c>
      <c r="Q784" s="553">
        <v>305</v>
      </c>
      <c r="R784" s="307"/>
      <c r="S784" s="307"/>
      <c r="T784" s="307"/>
      <c r="U784" s="306"/>
      <c r="V784" s="240"/>
      <c r="W784" s="240"/>
      <c r="X784" s="240"/>
      <c r="Y784" s="240"/>
      <c r="Z784" s="308"/>
      <c r="AA784" s="308"/>
      <c r="AB784" s="241"/>
      <c r="AC784" s="242"/>
      <c r="AD784" s="259"/>
      <c r="AE784" s="308"/>
      <c r="AF784" s="308"/>
      <c r="AG784" s="240"/>
      <c r="AH784" s="240"/>
      <c r="AI784" s="240"/>
      <c r="AJ784" s="240"/>
      <c r="AK784" s="308"/>
      <c r="AL784" s="244"/>
      <c r="AM784" s="236"/>
      <c r="AN784" s="378"/>
    </row>
    <row r="785" spans="1:40" s="506" customFormat="1" ht="19.5" customHeight="1">
      <c r="A785" s="263"/>
      <c r="B785" s="551" t="s">
        <v>645</v>
      </c>
      <c r="C785" s="502" t="s">
        <v>1267</v>
      </c>
      <c r="D785" s="502"/>
      <c r="E785" s="503"/>
      <c r="F785" s="552">
        <v>7783.6</v>
      </c>
      <c r="G785" s="504"/>
      <c r="H785" s="504"/>
      <c r="I785" s="237">
        <f t="shared" si="303"/>
        <v>305.038</v>
      </c>
      <c r="J785" s="237"/>
      <c r="K785" s="553">
        <v>305.038</v>
      </c>
      <c r="L785" s="237"/>
      <c r="M785" s="237"/>
      <c r="N785" s="239">
        <f t="shared" si="304"/>
        <v>305.04</v>
      </c>
      <c r="O785" s="239"/>
      <c r="P785" s="239">
        <f>SUM(Q785:S785)</f>
        <v>305.04</v>
      </c>
      <c r="Q785" s="553">
        <v>305.04</v>
      </c>
      <c r="R785" s="307"/>
      <c r="S785" s="307"/>
      <c r="T785" s="307"/>
      <c r="U785" s="306"/>
      <c r="V785" s="240"/>
      <c r="W785" s="240"/>
      <c r="X785" s="240"/>
      <c r="Y785" s="240"/>
      <c r="Z785" s="308"/>
      <c r="AA785" s="308"/>
      <c r="AB785" s="241"/>
      <c r="AC785" s="242"/>
      <c r="AD785" s="259"/>
      <c r="AE785" s="308"/>
      <c r="AF785" s="308"/>
      <c r="AG785" s="240"/>
      <c r="AH785" s="240"/>
      <c r="AI785" s="240"/>
      <c r="AJ785" s="240"/>
      <c r="AK785" s="308"/>
      <c r="AL785" s="244"/>
      <c r="AM785" s="236"/>
      <c r="AN785" s="378"/>
    </row>
    <row r="786" spans="1:40" s="506" customFormat="1" ht="19.5" customHeight="1">
      <c r="A786" s="263"/>
      <c r="B786" s="478" t="s">
        <v>646</v>
      </c>
      <c r="C786" s="502" t="s">
        <v>1058</v>
      </c>
      <c r="D786" s="502"/>
      <c r="E786" s="503"/>
      <c r="F786" s="504"/>
      <c r="G786" s="504"/>
      <c r="H786" s="504"/>
      <c r="I786" s="237">
        <v>200</v>
      </c>
      <c r="J786" s="237"/>
      <c r="K786" s="237">
        <v>200</v>
      </c>
      <c r="L786" s="237"/>
      <c r="M786" s="237"/>
      <c r="N786" s="239">
        <v>200</v>
      </c>
      <c r="O786" s="239"/>
      <c r="P786" s="239">
        <f>SUM(Q786:S786)</f>
        <v>200</v>
      </c>
      <c r="Q786" s="505">
        <v>200</v>
      </c>
      <c r="R786" s="307"/>
      <c r="S786" s="307"/>
      <c r="T786" s="307"/>
      <c r="U786" s="306"/>
      <c r="V786" s="240"/>
      <c r="W786" s="240"/>
      <c r="X786" s="240"/>
      <c r="Y786" s="240"/>
      <c r="Z786" s="308"/>
      <c r="AA786" s="308"/>
      <c r="AB786" s="241"/>
      <c r="AC786" s="242"/>
      <c r="AD786" s="259"/>
      <c r="AE786" s="308"/>
      <c r="AF786" s="308"/>
      <c r="AG786" s="240"/>
      <c r="AH786" s="240"/>
      <c r="AI786" s="240"/>
      <c r="AJ786" s="240"/>
      <c r="AK786" s="308"/>
      <c r="AL786" s="244"/>
      <c r="AM786" s="236"/>
      <c r="AN786" s="378"/>
    </row>
    <row r="787" spans="1:40" s="506" customFormat="1" ht="19.5" customHeight="1">
      <c r="A787" s="263"/>
      <c r="B787" s="478" t="s">
        <v>647</v>
      </c>
      <c r="C787" s="502" t="s">
        <v>1267</v>
      </c>
      <c r="D787" s="502"/>
      <c r="E787" s="503"/>
      <c r="F787" s="504"/>
      <c r="G787" s="504"/>
      <c r="H787" s="504"/>
      <c r="I787" s="237">
        <v>200</v>
      </c>
      <c r="J787" s="237"/>
      <c r="K787" s="237">
        <v>200</v>
      </c>
      <c r="L787" s="237"/>
      <c r="M787" s="237"/>
      <c r="N787" s="239">
        <v>200</v>
      </c>
      <c r="O787" s="239"/>
      <c r="P787" s="239">
        <f aca="true" t="shared" si="306" ref="P787:P800">SUM(Q787:S787)</f>
        <v>200</v>
      </c>
      <c r="Q787" s="505">
        <v>200</v>
      </c>
      <c r="R787" s="307"/>
      <c r="S787" s="307"/>
      <c r="T787" s="307"/>
      <c r="U787" s="306"/>
      <c r="V787" s="240"/>
      <c r="W787" s="240"/>
      <c r="X787" s="240"/>
      <c r="Y787" s="240"/>
      <c r="Z787" s="308"/>
      <c r="AA787" s="308"/>
      <c r="AB787" s="241"/>
      <c r="AC787" s="242"/>
      <c r="AD787" s="259"/>
      <c r="AE787" s="308"/>
      <c r="AF787" s="308"/>
      <c r="AG787" s="240"/>
      <c r="AH787" s="240"/>
      <c r="AI787" s="240"/>
      <c r="AJ787" s="240"/>
      <c r="AK787" s="308"/>
      <c r="AL787" s="244"/>
      <c r="AM787" s="236"/>
      <c r="AN787" s="378"/>
    </row>
    <row r="788" spans="1:40" s="506" customFormat="1" ht="19.5" customHeight="1">
      <c r="A788" s="263"/>
      <c r="B788" s="478" t="s">
        <v>648</v>
      </c>
      <c r="C788" s="502" t="s">
        <v>1267</v>
      </c>
      <c r="D788" s="502"/>
      <c r="E788" s="503"/>
      <c r="F788" s="504"/>
      <c r="G788" s="504"/>
      <c r="H788" s="504"/>
      <c r="I788" s="237">
        <v>935</v>
      </c>
      <c r="J788" s="237"/>
      <c r="K788" s="237">
        <v>935</v>
      </c>
      <c r="L788" s="237"/>
      <c r="M788" s="237"/>
      <c r="N788" s="239">
        <v>935</v>
      </c>
      <c r="O788" s="239"/>
      <c r="P788" s="239">
        <f t="shared" si="306"/>
        <v>935</v>
      </c>
      <c r="Q788" s="505">
        <v>935</v>
      </c>
      <c r="R788" s="307"/>
      <c r="S788" s="307"/>
      <c r="T788" s="307"/>
      <c r="U788" s="306"/>
      <c r="V788" s="240"/>
      <c r="W788" s="240"/>
      <c r="X788" s="240"/>
      <c r="Y788" s="240"/>
      <c r="Z788" s="308"/>
      <c r="AA788" s="308"/>
      <c r="AB788" s="241"/>
      <c r="AC788" s="242"/>
      <c r="AD788" s="259"/>
      <c r="AE788" s="308"/>
      <c r="AF788" s="308"/>
      <c r="AG788" s="240"/>
      <c r="AH788" s="240"/>
      <c r="AI788" s="240"/>
      <c r="AJ788" s="240"/>
      <c r="AK788" s="308"/>
      <c r="AL788" s="244"/>
      <c r="AM788" s="236"/>
      <c r="AN788" s="378"/>
    </row>
    <row r="789" spans="1:40" s="506" customFormat="1" ht="19.5" customHeight="1">
      <c r="A789" s="263"/>
      <c r="B789" s="478" t="s">
        <v>649</v>
      </c>
      <c r="C789" s="502" t="s">
        <v>1267</v>
      </c>
      <c r="D789" s="502"/>
      <c r="E789" s="503"/>
      <c r="F789" s="504"/>
      <c r="G789" s="504"/>
      <c r="H789" s="504"/>
      <c r="I789" s="237">
        <v>935</v>
      </c>
      <c r="J789" s="237"/>
      <c r="K789" s="237">
        <v>935</v>
      </c>
      <c r="L789" s="237"/>
      <c r="M789" s="237"/>
      <c r="N789" s="239">
        <v>935</v>
      </c>
      <c r="O789" s="239"/>
      <c r="P789" s="239">
        <f t="shared" si="306"/>
        <v>935</v>
      </c>
      <c r="Q789" s="505">
        <v>935</v>
      </c>
      <c r="R789" s="307"/>
      <c r="S789" s="307"/>
      <c r="T789" s="307"/>
      <c r="U789" s="306"/>
      <c r="V789" s="240"/>
      <c r="W789" s="240"/>
      <c r="X789" s="240"/>
      <c r="Y789" s="240"/>
      <c r="Z789" s="308"/>
      <c r="AA789" s="308"/>
      <c r="AB789" s="241"/>
      <c r="AC789" s="242"/>
      <c r="AD789" s="259"/>
      <c r="AE789" s="308"/>
      <c r="AF789" s="308"/>
      <c r="AG789" s="240"/>
      <c r="AH789" s="240"/>
      <c r="AI789" s="240"/>
      <c r="AJ789" s="240"/>
      <c r="AK789" s="308"/>
      <c r="AL789" s="244"/>
      <c r="AM789" s="236"/>
      <c r="AN789" s="378"/>
    </row>
    <row r="790" spans="1:40" s="506" customFormat="1" ht="19.5" customHeight="1">
      <c r="A790" s="263"/>
      <c r="B790" s="478" t="s">
        <v>650</v>
      </c>
      <c r="C790" s="502" t="s">
        <v>1267</v>
      </c>
      <c r="D790" s="502"/>
      <c r="E790" s="503"/>
      <c r="F790" s="504"/>
      <c r="G790" s="504"/>
      <c r="H790" s="504"/>
      <c r="I790" s="237">
        <v>1244</v>
      </c>
      <c r="J790" s="237"/>
      <c r="K790" s="237">
        <v>1244</v>
      </c>
      <c r="L790" s="237"/>
      <c r="M790" s="237"/>
      <c r="N790" s="239">
        <v>1244</v>
      </c>
      <c r="O790" s="239"/>
      <c r="P790" s="239">
        <f t="shared" si="306"/>
        <v>1244</v>
      </c>
      <c r="Q790" s="505">
        <v>1244</v>
      </c>
      <c r="R790" s="307"/>
      <c r="S790" s="307"/>
      <c r="T790" s="307"/>
      <c r="U790" s="306"/>
      <c r="V790" s="240"/>
      <c r="W790" s="240"/>
      <c r="X790" s="240"/>
      <c r="Y790" s="240"/>
      <c r="Z790" s="308"/>
      <c r="AA790" s="308"/>
      <c r="AB790" s="241"/>
      <c r="AC790" s="242"/>
      <c r="AD790" s="259"/>
      <c r="AE790" s="308"/>
      <c r="AF790" s="308"/>
      <c r="AG790" s="240"/>
      <c r="AH790" s="240"/>
      <c r="AI790" s="240"/>
      <c r="AJ790" s="240"/>
      <c r="AK790" s="308"/>
      <c r="AL790" s="244"/>
      <c r="AM790" s="236"/>
      <c r="AN790" s="378"/>
    </row>
    <row r="791" spans="1:40" s="506" customFormat="1" ht="19.5" customHeight="1">
      <c r="A791" s="263"/>
      <c r="B791" s="478" t="s">
        <v>651</v>
      </c>
      <c r="C791" s="502" t="s">
        <v>1267</v>
      </c>
      <c r="D791" s="502"/>
      <c r="E791" s="503"/>
      <c r="F791" s="504"/>
      <c r="G791" s="504"/>
      <c r="H791" s="504"/>
      <c r="I791" s="237">
        <v>1122</v>
      </c>
      <c r="J791" s="237"/>
      <c r="K791" s="237">
        <v>1122</v>
      </c>
      <c r="L791" s="237"/>
      <c r="M791" s="237"/>
      <c r="N791" s="239">
        <f>SUM(P791,U791)</f>
        <v>1121.54</v>
      </c>
      <c r="O791" s="239"/>
      <c r="P791" s="239">
        <f t="shared" si="306"/>
        <v>1121.54</v>
      </c>
      <c r="Q791" s="505">
        <f>1122-0.46</f>
        <v>1121.54</v>
      </c>
      <c r="R791" s="307"/>
      <c r="S791" s="307"/>
      <c r="T791" s="307"/>
      <c r="U791" s="306"/>
      <c r="V791" s="240"/>
      <c r="W791" s="240"/>
      <c r="X791" s="240"/>
      <c r="Y791" s="240"/>
      <c r="Z791" s="308"/>
      <c r="AA791" s="308"/>
      <c r="AB791" s="241"/>
      <c r="AC791" s="242"/>
      <c r="AD791" s="259"/>
      <c r="AE791" s="308"/>
      <c r="AF791" s="308"/>
      <c r="AG791" s="240"/>
      <c r="AH791" s="240"/>
      <c r="AI791" s="240"/>
      <c r="AJ791" s="240"/>
      <c r="AK791" s="308"/>
      <c r="AL791" s="244"/>
      <c r="AM791" s="236"/>
      <c r="AN791" s="378"/>
    </row>
    <row r="792" spans="1:40" s="506" customFormat="1" ht="19.5" customHeight="1">
      <c r="A792" s="263"/>
      <c r="B792" s="478" t="s">
        <v>652</v>
      </c>
      <c r="C792" s="502" t="s">
        <v>1267</v>
      </c>
      <c r="D792" s="502"/>
      <c r="E792" s="503"/>
      <c r="F792" s="504"/>
      <c r="G792" s="504"/>
      <c r="H792" s="504"/>
      <c r="I792" s="237">
        <v>935</v>
      </c>
      <c r="J792" s="237"/>
      <c r="K792" s="237">
        <v>935</v>
      </c>
      <c r="L792" s="237"/>
      <c r="M792" s="237"/>
      <c r="N792" s="239">
        <v>935</v>
      </c>
      <c r="O792" s="239"/>
      <c r="P792" s="239">
        <f t="shared" si="306"/>
        <v>935</v>
      </c>
      <c r="Q792" s="505">
        <v>935</v>
      </c>
      <c r="R792" s="307"/>
      <c r="S792" s="307"/>
      <c r="T792" s="307"/>
      <c r="U792" s="306"/>
      <c r="V792" s="240"/>
      <c r="W792" s="240"/>
      <c r="X792" s="240"/>
      <c r="Y792" s="240"/>
      <c r="Z792" s="308"/>
      <c r="AA792" s="308"/>
      <c r="AB792" s="241"/>
      <c r="AC792" s="242"/>
      <c r="AD792" s="259"/>
      <c r="AE792" s="308"/>
      <c r="AF792" s="308"/>
      <c r="AG792" s="240"/>
      <c r="AH792" s="240"/>
      <c r="AI792" s="240"/>
      <c r="AJ792" s="240"/>
      <c r="AK792" s="308"/>
      <c r="AL792" s="244"/>
      <c r="AM792" s="236"/>
      <c r="AN792" s="378"/>
    </row>
    <row r="793" spans="1:40" s="506" customFormat="1" ht="19.5" customHeight="1">
      <c r="A793" s="263"/>
      <c r="B793" s="478" t="s">
        <v>653</v>
      </c>
      <c r="C793" s="502" t="s">
        <v>1267</v>
      </c>
      <c r="D793" s="502"/>
      <c r="E793" s="503"/>
      <c r="F793" s="504"/>
      <c r="G793" s="504"/>
      <c r="H793" s="504"/>
      <c r="I793" s="237">
        <v>1122</v>
      </c>
      <c r="J793" s="237"/>
      <c r="K793" s="237">
        <v>1122</v>
      </c>
      <c r="L793" s="237"/>
      <c r="M793" s="237"/>
      <c r="N793" s="239">
        <v>1122</v>
      </c>
      <c r="O793" s="239"/>
      <c r="P793" s="239">
        <f t="shared" si="306"/>
        <v>1122</v>
      </c>
      <c r="Q793" s="505">
        <v>1122</v>
      </c>
      <c r="R793" s="307"/>
      <c r="S793" s="307"/>
      <c r="T793" s="307"/>
      <c r="U793" s="306"/>
      <c r="V793" s="240"/>
      <c r="W793" s="240"/>
      <c r="X793" s="240"/>
      <c r="Y793" s="240"/>
      <c r="Z793" s="308"/>
      <c r="AA793" s="308"/>
      <c r="AB793" s="241"/>
      <c r="AC793" s="242"/>
      <c r="AD793" s="259"/>
      <c r="AE793" s="308"/>
      <c r="AF793" s="308"/>
      <c r="AG793" s="240"/>
      <c r="AH793" s="240"/>
      <c r="AI793" s="240"/>
      <c r="AJ793" s="240"/>
      <c r="AK793" s="308"/>
      <c r="AL793" s="244"/>
      <c r="AM793" s="236"/>
      <c r="AN793" s="378"/>
    </row>
    <row r="794" spans="1:40" s="506" customFormat="1" ht="19.5" customHeight="1">
      <c r="A794" s="263"/>
      <c r="B794" s="478" t="s">
        <v>654</v>
      </c>
      <c r="C794" s="502" t="s">
        <v>1267</v>
      </c>
      <c r="D794" s="502"/>
      <c r="E794" s="503"/>
      <c r="F794" s="504"/>
      <c r="G794" s="504"/>
      <c r="H794" s="504"/>
      <c r="I794" s="237">
        <v>1122</v>
      </c>
      <c r="J794" s="237"/>
      <c r="K794" s="237">
        <v>1122</v>
      </c>
      <c r="L794" s="237"/>
      <c r="M794" s="237"/>
      <c r="N794" s="239">
        <v>1122</v>
      </c>
      <c r="O794" s="239"/>
      <c r="P794" s="239">
        <f t="shared" si="306"/>
        <v>1122</v>
      </c>
      <c r="Q794" s="505">
        <v>1122</v>
      </c>
      <c r="R794" s="307"/>
      <c r="S794" s="307"/>
      <c r="T794" s="307"/>
      <c r="U794" s="306"/>
      <c r="V794" s="240"/>
      <c r="W794" s="240"/>
      <c r="X794" s="240"/>
      <c r="Y794" s="240"/>
      <c r="Z794" s="308"/>
      <c r="AA794" s="308"/>
      <c r="AB794" s="241"/>
      <c r="AC794" s="242"/>
      <c r="AD794" s="259"/>
      <c r="AE794" s="308"/>
      <c r="AF794" s="308"/>
      <c r="AG794" s="240"/>
      <c r="AH794" s="240"/>
      <c r="AI794" s="240"/>
      <c r="AJ794" s="240"/>
      <c r="AK794" s="308"/>
      <c r="AL794" s="244"/>
      <c r="AM794" s="236"/>
      <c r="AN794" s="378"/>
    </row>
    <row r="795" spans="1:40" s="506" customFormat="1" ht="19.5" customHeight="1">
      <c r="A795" s="263"/>
      <c r="B795" s="478" t="s">
        <v>655</v>
      </c>
      <c r="C795" s="502" t="s">
        <v>1267</v>
      </c>
      <c r="D795" s="502"/>
      <c r="E795" s="503"/>
      <c r="F795" s="504"/>
      <c r="G795" s="504"/>
      <c r="H795" s="504"/>
      <c r="I795" s="237">
        <v>1122</v>
      </c>
      <c r="J795" s="237"/>
      <c r="K795" s="237">
        <v>1122</v>
      </c>
      <c r="L795" s="237"/>
      <c r="M795" s="237"/>
      <c r="N795" s="239">
        <v>1122</v>
      </c>
      <c r="O795" s="239"/>
      <c r="P795" s="239">
        <f t="shared" si="306"/>
        <v>1122</v>
      </c>
      <c r="Q795" s="505">
        <v>1122</v>
      </c>
      <c r="R795" s="307"/>
      <c r="S795" s="307"/>
      <c r="T795" s="307"/>
      <c r="U795" s="306"/>
      <c r="V795" s="240"/>
      <c r="W795" s="240"/>
      <c r="X795" s="240"/>
      <c r="Y795" s="240"/>
      <c r="Z795" s="308"/>
      <c r="AA795" s="308"/>
      <c r="AB795" s="241"/>
      <c r="AC795" s="242"/>
      <c r="AD795" s="259"/>
      <c r="AE795" s="308"/>
      <c r="AF795" s="308"/>
      <c r="AG795" s="240"/>
      <c r="AH795" s="240"/>
      <c r="AI795" s="240"/>
      <c r="AJ795" s="240"/>
      <c r="AK795" s="308"/>
      <c r="AL795" s="244"/>
      <c r="AM795" s="236"/>
      <c r="AN795" s="378"/>
    </row>
    <row r="796" spans="1:40" s="506" customFormat="1" ht="19.5" customHeight="1">
      <c r="A796" s="263"/>
      <c r="B796" s="478" t="s">
        <v>656</v>
      </c>
      <c r="C796" s="502" t="s">
        <v>1267</v>
      </c>
      <c r="D796" s="502"/>
      <c r="E796" s="503"/>
      <c r="F796" s="504"/>
      <c r="G796" s="504"/>
      <c r="H796" s="504"/>
      <c r="I796" s="237">
        <v>1122</v>
      </c>
      <c r="J796" s="237"/>
      <c r="K796" s="237">
        <v>1122</v>
      </c>
      <c r="L796" s="237"/>
      <c r="M796" s="237"/>
      <c r="N796" s="239">
        <v>1122</v>
      </c>
      <c r="O796" s="239"/>
      <c r="P796" s="239">
        <f t="shared" si="306"/>
        <v>1122</v>
      </c>
      <c r="Q796" s="505">
        <v>1122</v>
      </c>
      <c r="R796" s="307"/>
      <c r="S796" s="307"/>
      <c r="T796" s="307"/>
      <c r="U796" s="306"/>
      <c r="V796" s="240"/>
      <c r="W796" s="240"/>
      <c r="X796" s="240"/>
      <c r="Y796" s="240"/>
      <c r="Z796" s="308"/>
      <c r="AA796" s="308"/>
      <c r="AB796" s="241"/>
      <c r="AC796" s="242"/>
      <c r="AD796" s="259"/>
      <c r="AE796" s="308"/>
      <c r="AF796" s="308"/>
      <c r="AG796" s="240"/>
      <c r="AH796" s="240"/>
      <c r="AI796" s="240"/>
      <c r="AJ796" s="240"/>
      <c r="AK796" s="308"/>
      <c r="AL796" s="244"/>
      <c r="AM796" s="236"/>
      <c r="AN796" s="378"/>
    </row>
    <row r="797" spans="1:40" s="506" customFormat="1" ht="19.5" customHeight="1">
      <c r="A797" s="263"/>
      <c r="B797" s="478" t="s">
        <v>657</v>
      </c>
      <c r="C797" s="502" t="s">
        <v>1267</v>
      </c>
      <c r="D797" s="502"/>
      <c r="E797" s="503"/>
      <c r="F797" s="504"/>
      <c r="G797" s="504"/>
      <c r="H797" s="504"/>
      <c r="I797" s="237">
        <v>1122</v>
      </c>
      <c r="J797" s="237"/>
      <c r="K797" s="237">
        <v>1122</v>
      </c>
      <c r="L797" s="237"/>
      <c r="M797" s="237"/>
      <c r="N797" s="239">
        <v>1122</v>
      </c>
      <c r="O797" s="239"/>
      <c r="P797" s="239">
        <f t="shared" si="306"/>
        <v>1122</v>
      </c>
      <c r="Q797" s="505">
        <v>1122</v>
      </c>
      <c r="R797" s="307"/>
      <c r="S797" s="307"/>
      <c r="T797" s="307"/>
      <c r="U797" s="306"/>
      <c r="V797" s="240"/>
      <c r="W797" s="240"/>
      <c r="X797" s="240"/>
      <c r="Y797" s="240"/>
      <c r="Z797" s="308"/>
      <c r="AA797" s="308"/>
      <c r="AB797" s="241"/>
      <c r="AC797" s="242"/>
      <c r="AD797" s="259"/>
      <c r="AE797" s="308"/>
      <c r="AF797" s="308"/>
      <c r="AG797" s="240"/>
      <c r="AH797" s="240"/>
      <c r="AI797" s="240"/>
      <c r="AJ797" s="240"/>
      <c r="AK797" s="308"/>
      <c r="AL797" s="244"/>
      <c r="AM797" s="236"/>
      <c r="AN797" s="378"/>
    </row>
    <row r="798" spans="1:40" s="506" customFormat="1" ht="19.5" customHeight="1">
      <c r="A798" s="263"/>
      <c r="B798" s="478" t="s">
        <v>658</v>
      </c>
      <c r="C798" s="502" t="s">
        <v>1267</v>
      </c>
      <c r="D798" s="502"/>
      <c r="E798" s="503"/>
      <c r="F798" s="504"/>
      <c r="G798" s="504"/>
      <c r="H798" s="504"/>
      <c r="I798" s="237">
        <v>1260</v>
      </c>
      <c r="J798" s="237">
        <v>260</v>
      </c>
      <c r="K798" s="237">
        <v>1260</v>
      </c>
      <c r="L798" s="237"/>
      <c r="M798" s="237"/>
      <c r="N798" s="239">
        <v>1260</v>
      </c>
      <c r="O798" s="239">
        <v>260</v>
      </c>
      <c r="P798" s="239">
        <f t="shared" si="306"/>
        <v>1260</v>
      </c>
      <c r="Q798" s="505">
        <v>1000</v>
      </c>
      <c r="R798" s="239">
        <v>260</v>
      </c>
      <c r="S798" s="307"/>
      <c r="T798" s="307"/>
      <c r="U798" s="306"/>
      <c r="V798" s="240"/>
      <c r="W798" s="240"/>
      <c r="X798" s="240"/>
      <c r="Y798" s="240"/>
      <c r="Z798" s="308"/>
      <c r="AA798" s="308"/>
      <c r="AB798" s="241"/>
      <c r="AC798" s="242"/>
      <c r="AD798" s="259"/>
      <c r="AE798" s="308"/>
      <c r="AF798" s="308"/>
      <c r="AG798" s="240"/>
      <c r="AH798" s="240"/>
      <c r="AI798" s="240"/>
      <c r="AJ798" s="240"/>
      <c r="AK798" s="308"/>
      <c r="AL798" s="244"/>
      <c r="AM798" s="236"/>
      <c r="AN798" s="378"/>
    </row>
    <row r="799" spans="1:40" s="506" customFormat="1" ht="19.5" customHeight="1">
      <c r="A799" s="263"/>
      <c r="B799" s="478" t="s">
        <v>659</v>
      </c>
      <c r="C799" s="502" t="s">
        <v>1267</v>
      </c>
      <c r="D799" s="502"/>
      <c r="E799" s="503"/>
      <c r="F799" s="504"/>
      <c r="G799" s="504"/>
      <c r="H799" s="504"/>
      <c r="I799" s="237">
        <v>2122</v>
      </c>
      <c r="J799" s="237">
        <v>1705</v>
      </c>
      <c r="K799" s="237">
        <v>2122</v>
      </c>
      <c r="L799" s="237"/>
      <c r="M799" s="237"/>
      <c r="N799" s="239">
        <v>1705</v>
      </c>
      <c r="O799" s="239">
        <v>1705</v>
      </c>
      <c r="P799" s="239">
        <f t="shared" si="306"/>
        <v>1705</v>
      </c>
      <c r="Q799" s="505"/>
      <c r="R799" s="239">
        <v>1705</v>
      </c>
      <c r="S799" s="307"/>
      <c r="T799" s="307"/>
      <c r="U799" s="306"/>
      <c r="V799" s="240"/>
      <c r="W799" s="240"/>
      <c r="X799" s="240"/>
      <c r="Y799" s="240"/>
      <c r="Z799" s="308"/>
      <c r="AA799" s="308"/>
      <c r="AB799" s="241"/>
      <c r="AC799" s="242"/>
      <c r="AD799" s="259"/>
      <c r="AE799" s="308"/>
      <c r="AF799" s="308"/>
      <c r="AG799" s="240"/>
      <c r="AH799" s="240"/>
      <c r="AI799" s="240"/>
      <c r="AJ799" s="240"/>
      <c r="AK799" s="308"/>
      <c r="AL799" s="244"/>
      <c r="AM799" s="236"/>
      <c r="AN799" s="378"/>
    </row>
    <row r="800" spans="1:40" s="506" customFormat="1" ht="19.5" customHeight="1">
      <c r="A800" s="263"/>
      <c r="B800" s="478" t="s">
        <v>660</v>
      </c>
      <c r="C800" s="502" t="s">
        <v>1267</v>
      </c>
      <c r="D800" s="502"/>
      <c r="E800" s="503"/>
      <c r="F800" s="504"/>
      <c r="G800" s="504"/>
      <c r="H800" s="504"/>
      <c r="I800" s="237">
        <v>2122</v>
      </c>
      <c r="J800" s="237">
        <v>1000</v>
      </c>
      <c r="K800" s="237">
        <v>2122</v>
      </c>
      <c r="L800" s="237"/>
      <c r="M800" s="237"/>
      <c r="N800" s="239">
        <v>2122</v>
      </c>
      <c r="O800" s="239">
        <v>1000</v>
      </c>
      <c r="P800" s="239">
        <f t="shared" si="306"/>
        <v>2122</v>
      </c>
      <c r="Q800" s="505">
        <v>1122</v>
      </c>
      <c r="R800" s="239">
        <v>1000</v>
      </c>
      <c r="S800" s="307"/>
      <c r="T800" s="307"/>
      <c r="U800" s="306"/>
      <c r="V800" s="240"/>
      <c r="W800" s="240"/>
      <c r="X800" s="240"/>
      <c r="Y800" s="240"/>
      <c r="Z800" s="308"/>
      <c r="AA800" s="308"/>
      <c r="AB800" s="241"/>
      <c r="AC800" s="242"/>
      <c r="AD800" s="259"/>
      <c r="AE800" s="308"/>
      <c r="AF800" s="308"/>
      <c r="AG800" s="240"/>
      <c r="AH800" s="240"/>
      <c r="AI800" s="240"/>
      <c r="AJ800" s="240"/>
      <c r="AK800" s="308"/>
      <c r="AL800" s="244"/>
      <c r="AM800" s="236"/>
      <c r="AN800" s="378"/>
    </row>
    <row r="801" spans="1:40" s="506" customFormat="1" ht="19.5" customHeight="1">
      <c r="A801" s="263"/>
      <c r="B801" s="478" t="s">
        <v>661</v>
      </c>
      <c r="C801" s="502" t="s">
        <v>1267</v>
      </c>
      <c r="D801" s="502"/>
      <c r="E801" s="503"/>
      <c r="F801" s="504"/>
      <c r="G801" s="504"/>
      <c r="H801" s="504"/>
      <c r="I801" s="237">
        <v>2122</v>
      </c>
      <c r="J801" s="237">
        <v>1000</v>
      </c>
      <c r="K801" s="237">
        <v>2122</v>
      </c>
      <c r="L801" s="237"/>
      <c r="M801" s="237"/>
      <c r="N801" s="239">
        <v>1827</v>
      </c>
      <c r="O801" s="239"/>
      <c r="P801" s="239">
        <f>SUM(Q801:S801)</f>
        <v>1827</v>
      </c>
      <c r="Q801" s="505">
        <v>1827</v>
      </c>
      <c r="R801" s="307"/>
      <c r="S801" s="307"/>
      <c r="T801" s="307"/>
      <c r="U801" s="306"/>
      <c r="V801" s="240"/>
      <c r="W801" s="240"/>
      <c r="X801" s="240"/>
      <c r="Y801" s="240"/>
      <c r="Z801" s="308"/>
      <c r="AA801" s="308"/>
      <c r="AB801" s="241"/>
      <c r="AC801" s="242"/>
      <c r="AD801" s="259"/>
      <c r="AE801" s="308"/>
      <c r="AF801" s="308"/>
      <c r="AG801" s="240"/>
      <c r="AH801" s="240"/>
      <c r="AI801" s="240"/>
      <c r="AJ801" s="240"/>
      <c r="AK801" s="308"/>
      <c r="AL801" s="244"/>
      <c r="AM801" s="236"/>
      <c r="AN801" s="378"/>
    </row>
    <row r="802" spans="1:40" s="506" customFormat="1" ht="19.5" customHeight="1">
      <c r="A802" s="263"/>
      <c r="B802" s="478" t="s">
        <v>662</v>
      </c>
      <c r="C802" s="502" t="s">
        <v>1355</v>
      </c>
      <c r="D802" s="502"/>
      <c r="E802" s="503"/>
      <c r="F802" s="504"/>
      <c r="G802" s="504"/>
      <c r="H802" s="504"/>
      <c r="I802" s="237">
        <v>1001</v>
      </c>
      <c r="J802" s="237"/>
      <c r="K802" s="237">
        <v>1001</v>
      </c>
      <c r="L802" s="237"/>
      <c r="M802" s="237"/>
      <c r="N802" s="239">
        <v>1001</v>
      </c>
      <c r="O802" s="239"/>
      <c r="P802" s="239">
        <f>SUM(Q802:S802)</f>
        <v>1001</v>
      </c>
      <c r="Q802" s="505">
        <v>1001</v>
      </c>
      <c r="R802" s="307"/>
      <c r="S802" s="307"/>
      <c r="T802" s="307"/>
      <c r="U802" s="306"/>
      <c r="V802" s="240"/>
      <c r="W802" s="240"/>
      <c r="X802" s="240"/>
      <c r="Y802" s="240"/>
      <c r="Z802" s="308"/>
      <c r="AA802" s="308"/>
      <c r="AB802" s="241"/>
      <c r="AC802" s="242"/>
      <c r="AD802" s="259"/>
      <c r="AE802" s="308"/>
      <c r="AF802" s="308"/>
      <c r="AG802" s="240"/>
      <c r="AH802" s="240"/>
      <c r="AI802" s="240"/>
      <c r="AJ802" s="240"/>
      <c r="AK802" s="308"/>
      <c r="AL802" s="244"/>
      <c r="AM802" s="236"/>
      <c r="AN802" s="378"/>
    </row>
    <row r="803" spans="1:40" s="506" customFormat="1" ht="19.5" customHeight="1">
      <c r="A803" s="263"/>
      <c r="B803" s="478" t="s">
        <v>663</v>
      </c>
      <c r="C803" s="502" t="s">
        <v>1267</v>
      </c>
      <c r="D803" s="502"/>
      <c r="E803" s="503"/>
      <c r="F803" s="504"/>
      <c r="G803" s="504"/>
      <c r="H803" s="504"/>
      <c r="I803" s="237">
        <v>937.93</v>
      </c>
      <c r="J803" s="237"/>
      <c r="K803" s="237">
        <v>937.93</v>
      </c>
      <c r="L803" s="237"/>
      <c r="M803" s="237"/>
      <c r="N803" s="239">
        <v>937.929</v>
      </c>
      <c r="O803" s="239"/>
      <c r="P803" s="239">
        <f aca="true" t="shared" si="307" ref="P803:P818">SUM(Q803:S803)</f>
        <v>937.929</v>
      </c>
      <c r="Q803" s="505">
        <v>937.929</v>
      </c>
      <c r="R803" s="307"/>
      <c r="S803" s="307"/>
      <c r="T803" s="307"/>
      <c r="U803" s="306"/>
      <c r="V803" s="240"/>
      <c r="W803" s="240"/>
      <c r="X803" s="240"/>
      <c r="Y803" s="240"/>
      <c r="Z803" s="308"/>
      <c r="AA803" s="308"/>
      <c r="AB803" s="241"/>
      <c r="AC803" s="242"/>
      <c r="AD803" s="259"/>
      <c r="AE803" s="308"/>
      <c r="AF803" s="308"/>
      <c r="AG803" s="240"/>
      <c r="AH803" s="240"/>
      <c r="AI803" s="240"/>
      <c r="AJ803" s="240"/>
      <c r="AK803" s="308"/>
      <c r="AL803" s="244"/>
      <c r="AM803" s="236"/>
      <c r="AN803" s="378"/>
    </row>
    <row r="804" spans="1:40" s="506" customFormat="1" ht="19.5" customHeight="1">
      <c r="A804" s="263"/>
      <c r="B804" s="478" t="s">
        <v>664</v>
      </c>
      <c r="C804" s="502" t="s">
        <v>1267</v>
      </c>
      <c r="D804" s="502"/>
      <c r="E804" s="503"/>
      <c r="F804" s="504"/>
      <c r="G804" s="504"/>
      <c r="H804" s="504"/>
      <c r="I804" s="237">
        <v>945.28</v>
      </c>
      <c r="J804" s="237"/>
      <c r="K804" s="237">
        <v>945.28</v>
      </c>
      <c r="L804" s="237"/>
      <c r="M804" s="237"/>
      <c r="N804" s="239">
        <v>945.279</v>
      </c>
      <c r="O804" s="239"/>
      <c r="P804" s="239">
        <f t="shared" si="307"/>
        <v>945.279</v>
      </c>
      <c r="Q804" s="505">
        <v>945.279</v>
      </c>
      <c r="R804" s="307"/>
      <c r="S804" s="307"/>
      <c r="T804" s="307"/>
      <c r="U804" s="306"/>
      <c r="V804" s="240"/>
      <c r="W804" s="240"/>
      <c r="X804" s="240"/>
      <c r="Y804" s="240"/>
      <c r="Z804" s="308"/>
      <c r="AA804" s="308"/>
      <c r="AB804" s="241"/>
      <c r="AC804" s="242"/>
      <c r="AD804" s="259"/>
      <c r="AE804" s="308"/>
      <c r="AF804" s="308"/>
      <c r="AG804" s="240"/>
      <c r="AH804" s="240"/>
      <c r="AI804" s="240"/>
      <c r="AJ804" s="240"/>
      <c r="AK804" s="308"/>
      <c r="AL804" s="244"/>
      <c r="AM804" s="236"/>
      <c r="AN804" s="378"/>
    </row>
    <row r="805" spans="1:40" s="506" customFormat="1" ht="19.5" customHeight="1">
      <c r="A805" s="263"/>
      <c r="B805" s="478" t="s">
        <v>665</v>
      </c>
      <c r="C805" s="502" t="s">
        <v>1267</v>
      </c>
      <c r="D805" s="502"/>
      <c r="E805" s="503"/>
      <c r="F805" s="504"/>
      <c r="G805" s="504"/>
      <c r="H805" s="504"/>
      <c r="I805" s="237">
        <v>1355.15</v>
      </c>
      <c r="J805" s="237"/>
      <c r="K805" s="237">
        <v>1355.15</v>
      </c>
      <c r="L805" s="237"/>
      <c r="M805" s="237"/>
      <c r="N805" s="239">
        <v>1349.154</v>
      </c>
      <c r="O805" s="239"/>
      <c r="P805" s="239">
        <f t="shared" si="307"/>
        <v>1349.154</v>
      </c>
      <c r="Q805" s="505">
        <v>1349.154</v>
      </c>
      <c r="R805" s="307"/>
      <c r="S805" s="307"/>
      <c r="T805" s="307"/>
      <c r="U805" s="306"/>
      <c r="V805" s="240"/>
      <c r="W805" s="240"/>
      <c r="X805" s="240"/>
      <c r="Y805" s="240"/>
      <c r="Z805" s="308"/>
      <c r="AA805" s="308"/>
      <c r="AB805" s="241"/>
      <c r="AC805" s="242"/>
      <c r="AD805" s="259"/>
      <c r="AE805" s="308"/>
      <c r="AF805" s="308"/>
      <c r="AG805" s="240"/>
      <c r="AH805" s="240"/>
      <c r="AI805" s="240"/>
      <c r="AJ805" s="240"/>
      <c r="AK805" s="308"/>
      <c r="AL805" s="244"/>
      <c r="AM805" s="236"/>
      <c r="AN805" s="378"/>
    </row>
    <row r="806" spans="1:40" s="506" customFormat="1" ht="19.5" customHeight="1">
      <c r="A806" s="263"/>
      <c r="B806" s="478" t="s">
        <v>666</v>
      </c>
      <c r="C806" s="502" t="s">
        <v>1267</v>
      </c>
      <c r="D806" s="502"/>
      <c r="E806" s="503"/>
      <c r="F806" s="504"/>
      <c r="G806" s="504"/>
      <c r="H806" s="504"/>
      <c r="I806" s="237">
        <v>913.3</v>
      </c>
      <c r="J806" s="237"/>
      <c r="K806" s="237">
        <v>913.3</v>
      </c>
      <c r="L806" s="237"/>
      <c r="M806" s="237"/>
      <c r="N806" s="239">
        <v>908</v>
      </c>
      <c r="O806" s="239"/>
      <c r="P806" s="239">
        <f t="shared" si="307"/>
        <v>908</v>
      </c>
      <c r="Q806" s="505">
        <v>908</v>
      </c>
      <c r="R806" s="307"/>
      <c r="S806" s="307"/>
      <c r="T806" s="307"/>
      <c r="U806" s="306"/>
      <c r="V806" s="240"/>
      <c r="W806" s="240"/>
      <c r="X806" s="240"/>
      <c r="Y806" s="240"/>
      <c r="Z806" s="308"/>
      <c r="AA806" s="308"/>
      <c r="AB806" s="241"/>
      <c r="AC806" s="242"/>
      <c r="AD806" s="259"/>
      <c r="AE806" s="308"/>
      <c r="AF806" s="308"/>
      <c r="AG806" s="240"/>
      <c r="AH806" s="240"/>
      <c r="AI806" s="240"/>
      <c r="AJ806" s="240"/>
      <c r="AK806" s="308"/>
      <c r="AL806" s="244"/>
      <c r="AM806" s="236"/>
      <c r="AN806" s="378"/>
    </row>
    <row r="807" spans="1:40" s="506" customFormat="1" ht="19.5" customHeight="1">
      <c r="A807" s="263"/>
      <c r="B807" s="478" t="s">
        <v>667</v>
      </c>
      <c r="C807" s="502" t="s">
        <v>1267</v>
      </c>
      <c r="D807" s="502"/>
      <c r="E807" s="503"/>
      <c r="F807" s="504"/>
      <c r="G807" s="504"/>
      <c r="H807" s="504"/>
      <c r="I807" s="237">
        <v>1244.2</v>
      </c>
      <c r="J807" s="237"/>
      <c r="K807" s="237">
        <v>1244.2</v>
      </c>
      <c r="L807" s="237"/>
      <c r="M807" s="237"/>
      <c r="N807" s="239">
        <v>1244.201</v>
      </c>
      <c r="O807" s="239"/>
      <c r="P807" s="239">
        <f t="shared" si="307"/>
        <v>1244.201</v>
      </c>
      <c r="Q807" s="505">
        <v>1244.201</v>
      </c>
      <c r="R807" s="307"/>
      <c r="S807" s="307"/>
      <c r="T807" s="307"/>
      <c r="U807" s="306"/>
      <c r="V807" s="240"/>
      <c r="W807" s="240"/>
      <c r="X807" s="240"/>
      <c r="Y807" s="240"/>
      <c r="Z807" s="308"/>
      <c r="AA807" s="308"/>
      <c r="AB807" s="241"/>
      <c r="AC807" s="242"/>
      <c r="AD807" s="259"/>
      <c r="AE807" s="308"/>
      <c r="AF807" s="308"/>
      <c r="AG807" s="240"/>
      <c r="AH807" s="240"/>
      <c r="AI807" s="240"/>
      <c r="AJ807" s="240"/>
      <c r="AK807" s="308"/>
      <c r="AL807" s="244"/>
      <c r="AM807" s="236"/>
      <c r="AN807" s="378"/>
    </row>
    <row r="808" spans="1:40" s="506" customFormat="1" ht="19.5" customHeight="1">
      <c r="A808" s="263"/>
      <c r="B808" s="478" t="s">
        <v>668</v>
      </c>
      <c r="C808" s="502" t="s">
        <v>1267</v>
      </c>
      <c r="D808" s="502"/>
      <c r="E808" s="503"/>
      <c r="F808" s="504"/>
      <c r="G808" s="504"/>
      <c r="H808" s="504"/>
      <c r="I808" s="237">
        <v>863.83</v>
      </c>
      <c r="J808" s="237"/>
      <c r="K808" s="237">
        <v>863.83</v>
      </c>
      <c r="L808" s="237"/>
      <c r="M808" s="237"/>
      <c r="N808" s="239">
        <v>863.828</v>
      </c>
      <c r="O808" s="239"/>
      <c r="P808" s="239">
        <f t="shared" si="307"/>
        <v>863.828</v>
      </c>
      <c r="Q808" s="505">
        <v>863.828</v>
      </c>
      <c r="R808" s="307"/>
      <c r="S808" s="307"/>
      <c r="T808" s="307"/>
      <c r="U808" s="306"/>
      <c r="V808" s="240"/>
      <c r="W808" s="240"/>
      <c r="X808" s="240"/>
      <c r="Y808" s="240"/>
      <c r="Z808" s="308"/>
      <c r="AA808" s="308"/>
      <c r="AB808" s="241"/>
      <c r="AC808" s="242"/>
      <c r="AD808" s="259"/>
      <c r="AE808" s="308"/>
      <c r="AF808" s="308"/>
      <c r="AG808" s="240"/>
      <c r="AH808" s="240"/>
      <c r="AI808" s="240"/>
      <c r="AJ808" s="240"/>
      <c r="AK808" s="308"/>
      <c r="AL808" s="244"/>
      <c r="AM808" s="236"/>
      <c r="AN808" s="378"/>
    </row>
    <row r="809" spans="1:40" s="506" customFormat="1" ht="19.5" customHeight="1">
      <c r="A809" s="263"/>
      <c r="B809" s="478" t="s">
        <v>669</v>
      </c>
      <c r="C809" s="502" t="s">
        <v>1267</v>
      </c>
      <c r="D809" s="502"/>
      <c r="E809" s="503"/>
      <c r="F809" s="504"/>
      <c r="G809" s="504"/>
      <c r="H809" s="504"/>
      <c r="I809" s="237">
        <v>1579</v>
      </c>
      <c r="J809" s="237"/>
      <c r="K809" s="237">
        <v>1579</v>
      </c>
      <c r="L809" s="237"/>
      <c r="M809" s="237"/>
      <c r="N809" s="239">
        <v>1579</v>
      </c>
      <c r="O809" s="239"/>
      <c r="P809" s="239">
        <f t="shared" si="307"/>
        <v>1579</v>
      </c>
      <c r="Q809" s="505">
        <v>1579</v>
      </c>
      <c r="R809" s="307"/>
      <c r="S809" s="307"/>
      <c r="T809" s="307"/>
      <c r="U809" s="306"/>
      <c r="V809" s="240"/>
      <c r="W809" s="240"/>
      <c r="X809" s="240"/>
      <c r="Y809" s="240"/>
      <c r="Z809" s="308"/>
      <c r="AA809" s="308"/>
      <c r="AB809" s="241"/>
      <c r="AC809" s="242"/>
      <c r="AD809" s="259"/>
      <c r="AE809" s="308"/>
      <c r="AF809" s="308"/>
      <c r="AG809" s="240"/>
      <c r="AH809" s="240"/>
      <c r="AI809" s="240"/>
      <c r="AJ809" s="240"/>
      <c r="AK809" s="308"/>
      <c r="AL809" s="244"/>
      <c r="AM809" s="236"/>
      <c r="AN809" s="378"/>
    </row>
    <row r="810" spans="1:40" s="506" customFormat="1" ht="19.5" customHeight="1">
      <c r="A810" s="263"/>
      <c r="B810" s="478" t="s">
        <v>670</v>
      </c>
      <c r="C810" s="502" t="s">
        <v>1267</v>
      </c>
      <c r="D810" s="502"/>
      <c r="E810" s="503"/>
      <c r="F810" s="504"/>
      <c r="G810" s="504"/>
      <c r="H810" s="504"/>
      <c r="I810" s="237">
        <v>1296</v>
      </c>
      <c r="J810" s="237"/>
      <c r="K810" s="237">
        <v>1296</v>
      </c>
      <c r="L810" s="237"/>
      <c r="M810" s="237"/>
      <c r="N810" s="239">
        <v>1296</v>
      </c>
      <c r="O810" s="239"/>
      <c r="P810" s="239">
        <f t="shared" si="307"/>
        <v>1296</v>
      </c>
      <c r="Q810" s="505">
        <v>1296</v>
      </c>
      <c r="R810" s="307"/>
      <c r="S810" s="307"/>
      <c r="T810" s="307"/>
      <c r="U810" s="306"/>
      <c r="V810" s="240"/>
      <c r="W810" s="240"/>
      <c r="X810" s="240"/>
      <c r="Y810" s="240"/>
      <c r="Z810" s="308"/>
      <c r="AA810" s="308"/>
      <c r="AB810" s="241"/>
      <c r="AC810" s="242"/>
      <c r="AD810" s="259"/>
      <c r="AE810" s="308"/>
      <c r="AF810" s="308"/>
      <c r="AG810" s="240"/>
      <c r="AH810" s="240"/>
      <c r="AI810" s="240"/>
      <c r="AJ810" s="240"/>
      <c r="AK810" s="308"/>
      <c r="AL810" s="244"/>
      <c r="AM810" s="236"/>
      <c r="AN810" s="378"/>
    </row>
    <row r="811" spans="1:40" s="506" customFormat="1" ht="19.5" customHeight="1">
      <c r="A811" s="263"/>
      <c r="B811" s="478" t="s">
        <v>671</v>
      </c>
      <c r="C811" s="502" t="s">
        <v>1267</v>
      </c>
      <c r="D811" s="502"/>
      <c r="E811" s="503"/>
      <c r="F811" s="504"/>
      <c r="G811" s="504"/>
      <c r="H811" s="504"/>
      <c r="I811" s="237">
        <v>1240.64</v>
      </c>
      <c r="J811" s="237"/>
      <c r="K811" s="237">
        <v>1240.64</v>
      </c>
      <c r="L811" s="237"/>
      <c r="M811" s="237"/>
      <c r="N811" s="239">
        <v>1240.643</v>
      </c>
      <c r="O811" s="239"/>
      <c r="P811" s="239">
        <f t="shared" si="307"/>
        <v>1240.643</v>
      </c>
      <c r="Q811" s="505">
        <v>1240.643</v>
      </c>
      <c r="R811" s="307"/>
      <c r="S811" s="307"/>
      <c r="T811" s="307"/>
      <c r="U811" s="306"/>
      <c r="V811" s="240"/>
      <c r="W811" s="240"/>
      <c r="X811" s="240"/>
      <c r="Y811" s="240"/>
      <c r="Z811" s="308"/>
      <c r="AA811" s="308"/>
      <c r="AB811" s="241"/>
      <c r="AC811" s="242"/>
      <c r="AD811" s="259"/>
      <c r="AE811" s="308"/>
      <c r="AF811" s="308"/>
      <c r="AG811" s="240"/>
      <c r="AH811" s="240"/>
      <c r="AI811" s="240"/>
      <c r="AJ811" s="240"/>
      <c r="AK811" s="308"/>
      <c r="AL811" s="244"/>
      <c r="AM811" s="236"/>
      <c r="AN811" s="378"/>
    </row>
    <row r="812" spans="1:40" s="506" customFormat="1" ht="19.5" customHeight="1">
      <c r="A812" s="263"/>
      <c r="B812" s="478" t="s">
        <v>672</v>
      </c>
      <c r="C812" s="502" t="s">
        <v>1267</v>
      </c>
      <c r="D812" s="502"/>
      <c r="E812" s="503"/>
      <c r="F812" s="504"/>
      <c r="G812" s="504"/>
      <c r="H812" s="504"/>
      <c r="I812" s="237">
        <v>1521</v>
      </c>
      <c r="J812" s="237"/>
      <c r="K812" s="237">
        <v>1521</v>
      </c>
      <c r="L812" s="237"/>
      <c r="M812" s="237"/>
      <c r="N812" s="239">
        <v>1521</v>
      </c>
      <c r="O812" s="239"/>
      <c r="P812" s="239">
        <f t="shared" si="307"/>
        <v>1521</v>
      </c>
      <c r="Q812" s="505">
        <v>1521</v>
      </c>
      <c r="R812" s="307"/>
      <c r="S812" s="307"/>
      <c r="T812" s="307"/>
      <c r="U812" s="306"/>
      <c r="V812" s="240"/>
      <c r="W812" s="240"/>
      <c r="X812" s="240"/>
      <c r="Y812" s="240"/>
      <c r="Z812" s="308"/>
      <c r="AA812" s="308"/>
      <c r="AB812" s="241"/>
      <c r="AC812" s="242"/>
      <c r="AD812" s="259"/>
      <c r="AE812" s="308"/>
      <c r="AF812" s="308"/>
      <c r="AG812" s="240"/>
      <c r="AH812" s="240"/>
      <c r="AI812" s="240"/>
      <c r="AJ812" s="240"/>
      <c r="AK812" s="308"/>
      <c r="AL812" s="244"/>
      <c r="AM812" s="236"/>
      <c r="AN812" s="378"/>
    </row>
    <row r="813" spans="1:40" s="506" customFormat="1" ht="19.5" customHeight="1">
      <c r="A813" s="263"/>
      <c r="B813" s="478" t="s">
        <v>673</v>
      </c>
      <c r="C813" s="502" t="s">
        <v>1267</v>
      </c>
      <c r="D813" s="502"/>
      <c r="E813" s="503"/>
      <c r="F813" s="504"/>
      <c r="G813" s="504"/>
      <c r="H813" s="504"/>
      <c r="I813" s="237">
        <v>244.84</v>
      </c>
      <c r="J813" s="237"/>
      <c r="K813" s="237">
        <v>244.84</v>
      </c>
      <c r="L813" s="237"/>
      <c r="M813" s="237"/>
      <c r="N813" s="239">
        <v>244.842</v>
      </c>
      <c r="O813" s="239"/>
      <c r="P813" s="239">
        <f t="shared" si="307"/>
        <v>244.842</v>
      </c>
      <c r="Q813" s="505">
        <v>244.842</v>
      </c>
      <c r="R813" s="307"/>
      <c r="S813" s="307"/>
      <c r="T813" s="307"/>
      <c r="U813" s="306"/>
      <c r="V813" s="240"/>
      <c r="W813" s="240"/>
      <c r="X813" s="240"/>
      <c r="Y813" s="240"/>
      <c r="Z813" s="308"/>
      <c r="AA813" s="308"/>
      <c r="AB813" s="241"/>
      <c r="AC813" s="242"/>
      <c r="AD813" s="259"/>
      <c r="AE813" s="308"/>
      <c r="AF813" s="308"/>
      <c r="AG813" s="240"/>
      <c r="AH813" s="240"/>
      <c r="AI813" s="240"/>
      <c r="AJ813" s="240"/>
      <c r="AK813" s="308"/>
      <c r="AL813" s="244"/>
      <c r="AM813" s="236"/>
      <c r="AN813" s="378"/>
    </row>
    <row r="814" spans="1:40" s="506" customFormat="1" ht="19.5" customHeight="1">
      <c r="A814" s="263"/>
      <c r="B814" s="478" t="s">
        <v>674</v>
      </c>
      <c r="C814" s="502" t="s">
        <v>1267</v>
      </c>
      <c r="D814" s="502"/>
      <c r="E814" s="503"/>
      <c r="F814" s="504"/>
      <c r="G814" s="504"/>
      <c r="H814" s="504"/>
      <c r="I814" s="237">
        <v>561.75</v>
      </c>
      <c r="J814" s="237">
        <v>29.75</v>
      </c>
      <c r="K814" s="237">
        <v>561.75</v>
      </c>
      <c r="L814" s="237"/>
      <c r="M814" s="237"/>
      <c r="N814" s="239">
        <v>554.845</v>
      </c>
      <c r="O814" s="239">
        <v>29.75</v>
      </c>
      <c r="P814" s="239">
        <f t="shared" si="307"/>
        <v>554.845</v>
      </c>
      <c r="Q814" s="505">
        <v>525.095</v>
      </c>
      <c r="R814" s="307">
        <v>29.75</v>
      </c>
      <c r="S814" s="307"/>
      <c r="T814" s="307"/>
      <c r="U814" s="306"/>
      <c r="V814" s="240"/>
      <c r="W814" s="240"/>
      <c r="X814" s="240"/>
      <c r="Y814" s="240"/>
      <c r="Z814" s="308"/>
      <c r="AA814" s="308"/>
      <c r="AB814" s="241"/>
      <c r="AC814" s="242"/>
      <c r="AD814" s="259"/>
      <c r="AE814" s="308"/>
      <c r="AF814" s="308"/>
      <c r="AG814" s="240"/>
      <c r="AH814" s="240"/>
      <c r="AI814" s="240"/>
      <c r="AJ814" s="240"/>
      <c r="AK814" s="308"/>
      <c r="AL814" s="244"/>
      <c r="AM814" s="236"/>
      <c r="AN814" s="378"/>
    </row>
    <row r="815" spans="1:40" s="506" customFormat="1" ht="19.5" customHeight="1">
      <c r="A815" s="263"/>
      <c r="B815" s="478" t="s">
        <v>675</v>
      </c>
      <c r="C815" s="502" t="s">
        <v>1267</v>
      </c>
      <c r="D815" s="502"/>
      <c r="E815" s="503"/>
      <c r="F815" s="504"/>
      <c r="G815" s="504"/>
      <c r="H815" s="504"/>
      <c r="I815" s="237">
        <v>763.83</v>
      </c>
      <c r="J815" s="237"/>
      <c r="K815" s="237">
        <v>763.83</v>
      </c>
      <c r="L815" s="237"/>
      <c r="M815" s="237"/>
      <c r="N815" s="239">
        <v>763.83</v>
      </c>
      <c r="O815" s="239"/>
      <c r="P815" s="239">
        <f t="shared" si="307"/>
        <v>763.83</v>
      </c>
      <c r="Q815" s="505">
        <v>763.83</v>
      </c>
      <c r="R815" s="307"/>
      <c r="S815" s="307"/>
      <c r="T815" s="307"/>
      <c r="U815" s="306"/>
      <c r="V815" s="240"/>
      <c r="W815" s="240"/>
      <c r="X815" s="240"/>
      <c r="Y815" s="240"/>
      <c r="Z815" s="308"/>
      <c r="AA815" s="308"/>
      <c r="AB815" s="241"/>
      <c r="AC815" s="242"/>
      <c r="AD815" s="259"/>
      <c r="AE815" s="308"/>
      <c r="AF815" s="308"/>
      <c r="AG815" s="240"/>
      <c r="AH815" s="240"/>
      <c r="AI815" s="240"/>
      <c r="AJ815" s="240"/>
      <c r="AK815" s="308"/>
      <c r="AL815" s="244"/>
      <c r="AM815" s="236"/>
      <c r="AN815" s="378"/>
    </row>
    <row r="816" spans="1:40" s="506" customFormat="1" ht="19.5" customHeight="1">
      <c r="A816" s="263"/>
      <c r="B816" s="478" t="s">
        <v>676</v>
      </c>
      <c r="C816" s="502" t="s">
        <v>345</v>
      </c>
      <c r="D816" s="502"/>
      <c r="E816" s="503"/>
      <c r="F816" s="504">
        <v>600</v>
      </c>
      <c r="G816" s="504"/>
      <c r="H816" s="504"/>
      <c r="I816" s="237">
        <v>600</v>
      </c>
      <c r="J816" s="237"/>
      <c r="K816" s="237">
        <v>600</v>
      </c>
      <c r="L816" s="237"/>
      <c r="M816" s="237"/>
      <c r="N816" s="239">
        <v>337.617</v>
      </c>
      <c r="O816" s="239"/>
      <c r="P816" s="239">
        <f t="shared" si="307"/>
        <v>337.617</v>
      </c>
      <c r="Q816" s="505">
        <v>337.617</v>
      </c>
      <c r="R816" s="307"/>
      <c r="S816" s="307"/>
      <c r="T816" s="307"/>
      <c r="U816" s="306"/>
      <c r="V816" s="240"/>
      <c r="W816" s="240"/>
      <c r="X816" s="240"/>
      <c r="Y816" s="240"/>
      <c r="Z816" s="308"/>
      <c r="AA816" s="308"/>
      <c r="AB816" s="241"/>
      <c r="AC816" s="242"/>
      <c r="AD816" s="259"/>
      <c r="AE816" s="308"/>
      <c r="AF816" s="308"/>
      <c r="AG816" s="240"/>
      <c r="AH816" s="240"/>
      <c r="AI816" s="240"/>
      <c r="AJ816" s="240"/>
      <c r="AK816" s="308"/>
      <c r="AL816" s="244"/>
      <c r="AM816" s="236"/>
      <c r="AN816" s="378"/>
    </row>
    <row r="817" spans="1:40" s="506" customFormat="1" ht="19.5" customHeight="1">
      <c r="A817" s="263"/>
      <c r="B817" s="478" t="s">
        <v>677</v>
      </c>
      <c r="C817" s="502" t="s">
        <v>1267</v>
      </c>
      <c r="D817" s="502"/>
      <c r="E817" s="503"/>
      <c r="F817" s="504"/>
      <c r="G817" s="504"/>
      <c r="H817" s="504"/>
      <c r="I817" s="237"/>
      <c r="J817" s="237"/>
      <c r="K817" s="237"/>
      <c r="L817" s="237"/>
      <c r="M817" s="237"/>
      <c r="N817" s="239">
        <f>SUM(P817)</f>
        <v>74.48</v>
      </c>
      <c r="O817" s="239"/>
      <c r="P817" s="239">
        <f t="shared" si="307"/>
        <v>74.48</v>
      </c>
      <c r="Q817" s="505">
        <v>74.48</v>
      </c>
      <c r="R817" s="307"/>
      <c r="S817" s="307"/>
      <c r="T817" s="307"/>
      <c r="U817" s="306"/>
      <c r="V817" s="240"/>
      <c r="W817" s="240"/>
      <c r="X817" s="240"/>
      <c r="Y817" s="240"/>
      <c r="Z817" s="308"/>
      <c r="AA817" s="308"/>
      <c r="AB817" s="241"/>
      <c r="AC817" s="242"/>
      <c r="AD817" s="259"/>
      <c r="AE817" s="308"/>
      <c r="AF817" s="308"/>
      <c r="AG817" s="240"/>
      <c r="AH817" s="240"/>
      <c r="AI817" s="240"/>
      <c r="AJ817" s="240"/>
      <c r="AK817" s="308"/>
      <c r="AL817" s="244"/>
      <c r="AM817" s="236"/>
      <c r="AN817" s="378"/>
    </row>
    <row r="818" spans="1:40" s="506" customFormat="1" ht="19.5" customHeight="1">
      <c r="A818" s="263"/>
      <c r="B818" s="478" t="s">
        <v>678</v>
      </c>
      <c r="C818" s="502" t="s">
        <v>1267</v>
      </c>
      <c r="D818" s="502"/>
      <c r="E818" s="503"/>
      <c r="F818" s="504"/>
      <c r="G818" s="504"/>
      <c r="H818" s="504"/>
      <c r="I818" s="237"/>
      <c r="J818" s="237"/>
      <c r="K818" s="237"/>
      <c r="L818" s="237"/>
      <c r="M818" s="237"/>
      <c r="N818" s="239">
        <f>SUM(P818)</f>
        <v>225.52</v>
      </c>
      <c r="O818" s="239"/>
      <c r="P818" s="239">
        <f t="shared" si="307"/>
        <v>225.52</v>
      </c>
      <c r="Q818" s="505">
        <v>225.52</v>
      </c>
      <c r="R818" s="307"/>
      <c r="S818" s="307"/>
      <c r="T818" s="307"/>
      <c r="U818" s="306"/>
      <c r="V818" s="240"/>
      <c r="W818" s="240"/>
      <c r="X818" s="240"/>
      <c r="Y818" s="240"/>
      <c r="Z818" s="308"/>
      <c r="AA818" s="308"/>
      <c r="AB818" s="241"/>
      <c r="AC818" s="242"/>
      <c r="AD818" s="259"/>
      <c r="AE818" s="308"/>
      <c r="AF818" s="308"/>
      <c r="AG818" s="240"/>
      <c r="AH818" s="240"/>
      <c r="AI818" s="240"/>
      <c r="AJ818" s="240"/>
      <c r="AK818" s="308"/>
      <c r="AL818" s="244"/>
      <c r="AM818" s="236"/>
      <c r="AN818" s="378"/>
    </row>
    <row r="819" spans="1:40" s="506" customFormat="1" ht="19.5" customHeight="1">
      <c r="A819" s="263"/>
      <c r="B819" s="478" t="s">
        <v>679</v>
      </c>
      <c r="C819" s="502" t="s">
        <v>1051</v>
      </c>
      <c r="D819" s="502">
        <v>2014</v>
      </c>
      <c r="E819" s="503" t="s">
        <v>680</v>
      </c>
      <c r="F819" s="504">
        <v>4931.380422</v>
      </c>
      <c r="G819" s="504"/>
      <c r="H819" s="504">
        <v>1000</v>
      </c>
      <c r="I819" s="237">
        <v>1000</v>
      </c>
      <c r="J819" s="237"/>
      <c r="K819" s="237">
        <v>1000</v>
      </c>
      <c r="L819" s="237"/>
      <c r="M819" s="237"/>
      <c r="N819" s="239">
        <v>999.388</v>
      </c>
      <c r="O819" s="239"/>
      <c r="P819" s="239">
        <f>SUM(Q819:S819)</f>
        <v>999.388</v>
      </c>
      <c r="Q819" s="505">
        <v>999.388</v>
      </c>
      <c r="R819" s="307"/>
      <c r="S819" s="307"/>
      <c r="T819" s="307"/>
      <c r="U819" s="306"/>
      <c r="V819" s="240"/>
      <c r="W819" s="240"/>
      <c r="X819" s="240"/>
      <c r="Y819" s="240"/>
      <c r="Z819" s="308"/>
      <c r="AA819" s="308"/>
      <c r="AB819" s="241"/>
      <c r="AC819" s="242"/>
      <c r="AD819" s="259"/>
      <c r="AE819" s="308"/>
      <c r="AF819" s="308"/>
      <c r="AG819" s="240"/>
      <c r="AH819" s="240"/>
      <c r="AI819" s="240"/>
      <c r="AJ819" s="240"/>
      <c r="AK819" s="308"/>
      <c r="AL819" s="244"/>
      <c r="AM819" s="236"/>
      <c r="AN819" s="378"/>
    </row>
    <row r="820" spans="1:40" s="506" customFormat="1" ht="19.5" customHeight="1">
      <c r="A820" s="263"/>
      <c r="B820" s="478" t="s">
        <v>681</v>
      </c>
      <c r="C820" s="502" t="s">
        <v>1267</v>
      </c>
      <c r="D820" s="502">
        <v>2014</v>
      </c>
      <c r="E820" s="503" t="s">
        <v>682</v>
      </c>
      <c r="F820" s="504">
        <v>2926.641757</v>
      </c>
      <c r="G820" s="504"/>
      <c r="H820" s="504">
        <v>1000</v>
      </c>
      <c r="I820" s="237">
        <v>950</v>
      </c>
      <c r="J820" s="237"/>
      <c r="K820" s="237">
        <v>950</v>
      </c>
      <c r="L820" s="237"/>
      <c r="M820" s="237"/>
      <c r="N820" s="239">
        <v>950</v>
      </c>
      <c r="O820" s="239"/>
      <c r="P820" s="239">
        <f aca="true" t="shared" si="308" ref="P820:P838">SUM(Q820:S820)</f>
        <v>950</v>
      </c>
      <c r="Q820" s="505">
        <v>950</v>
      </c>
      <c r="R820" s="307"/>
      <c r="S820" s="307"/>
      <c r="T820" s="307"/>
      <c r="U820" s="306"/>
      <c r="V820" s="240"/>
      <c r="W820" s="240"/>
      <c r="X820" s="240"/>
      <c r="Y820" s="240"/>
      <c r="Z820" s="308"/>
      <c r="AA820" s="308"/>
      <c r="AB820" s="241"/>
      <c r="AC820" s="242"/>
      <c r="AD820" s="259"/>
      <c r="AE820" s="308"/>
      <c r="AF820" s="308"/>
      <c r="AG820" s="240"/>
      <c r="AH820" s="240"/>
      <c r="AI820" s="240"/>
      <c r="AJ820" s="240"/>
      <c r="AK820" s="308"/>
      <c r="AL820" s="244"/>
      <c r="AM820" s="236"/>
      <c r="AN820" s="378"/>
    </row>
    <row r="821" spans="1:40" s="506" customFormat="1" ht="19.5" customHeight="1">
      <c r="A821" s="263"/>
      <c r="B821" s="478" t="s">
        <v>683</v>
      </c>
      <c r="C821" s="502" t="s">
        <v>1267</v>
      </c>
      <c r="D821" s="502">
        <v>2014</v>
      </c>
      <c r="E821" s="503" t="s">
        <v>684</v>
      </c>
      <c r="F821" s="504">
        <v>2782.642169</v>
      </c>
      <c r="G821" s="504"/>
      <c r="H821" s="504">
        <v>1000</v>
      </c>
      <c r="I821" s="237">
        <v>950</v>
      </c>
      <c r="J821" s="237"/>
      <c r="K821" s="237">
        <v>950</v>
      </c>
      <c r="L821" s="237"/>
      <c r="M821" s="237"/>
      <c r="N821" s="239">
        <v>943.96</v>
      </c>
      <c r="O821" s="239"/>
      <c r="P821" s="239">
        <f t="shared" si="308"/>
        <v>943.96</v>
      </c>
      <c r="Q821" s="505">
        <v>943.96</v>
      </c>
      <c r="R821" s="307"/>
      <c r="S821" s="307"/>
      <c r="T821" s="307"/>
      <c r="U821" s="306"/>
      <c r="V821" s="240"/>
      <c r="W821" s="240"/>
      <c r="X821" s="240"/>
      <c r="Y821" s="240"/>
      <c r="Z821" s="308"/>
      <c r="AA821" s="308"/>
      <c r="AB821" s="241"/>
      <c r="AC821" s="242"/>
      <c r="AD821" s="259"/>
      <c r="AE821" s="308"/>
      <c r="AF821" s="308"/>
      <c r="AG821" s="240"/>
      <c r="AH821" s="240"/>
      <c r="AI821" s="240"/>
      <c r="AJ821" s="240"/>
      <c r="AK821" s="308"/>
      <c r="AL821" s="244"/>
      <c r="AM821" s="236"/>
      <c r="AN821" s="378"/>
    </row>
    <row r="822" spans="1:40" s="506" customFormat="1" ht="19.5" customHeight="1">
      <c r="A822" s="263"/>
      <c r="B822" s="478" t="s">
        <v>685</v>
      </c>
      <c r="C822" s="502" t="s">
        <v>1267</v>
      </c>
      <c r="D822" s="502">
        <v>2014</v>
      </c>
      <c r="E822" s="503" t="s">
        <v>686</v>
      </c>
      <c r="F822" s="504">
        <v>1435.3003</v>
      </c>
      <c r="G822" s="504"/>
      <c r="H822" s="504">
        <v>1000</v>
      </c>
      <c r="I822" s="237">
        <v>435</v>
      </c>
      <c r="J822" s="237"/>
      <c r="K822" s="237">
        <v>435</v>
      </c>
      <c r="L822" s="237"/>
      <c r="M822" s="237"/>
      <c r="N822" s="239">
        <v>430.179</v>
      </c>
      <c r="O822" s="239"/>
      <c r="P822" s="239">
        <f t="shared" si="308"/>
        <v>430.179</v>
      </c>
      <c r="Q822" s="505">
        <v>430.179</v>
      </c>
      <c r="R822" s="307"/>
      <c r="S822" s="307"/>
      <c r="T822" s="307"/>
      <c r="U822" s="306"/>
      <c r="V822" s="240"/>
      <c r="W822" s="240"/>
      <c r="X822" s="240"/>
      <c r="Y822" s="240"/>
      <c r="Z822" s="308"/>
      <c r="AA822" s="308"/>
      <c r="AB822" s="241"/>
      <c r="AC822" s="242"/>
      <c r="AD822" s="259"/>
      <c r="AE822" s="308"/>
      <c r="AF822" s="308"/>
      <c r="AG822" s="240"/>
      <c r="AH822" s="240"/>
      <c r="AI822" s="240"/>
      <c r="AJ822" s="240"/>
      <c r="AK822" s="308"/>
      <c r="AL822" s="244"/>
      <c r="AM822" s="236"/>
      <c r="AN822" s="378"/>
    </row>
    <row r="823" spans="1:40" s="506" customFormat="1" ht="19.5" customHeight="1">
      <c r="A823" s="263"/>
      <c r="B823" s="478" t="s">
        <v>687</v>
      </c>
      <c r="C823" s="502" t="s">
        <v>1267</v>
      </c>
      <c r="D823" s="502">
        <v>2014</v>
      </c>
      <c r="E823" s="503" t="s">
        <v>688</v>
      </c>
      <c r="F823" s="504">
        <v>1526.935192</v>
      </c>
      <c r="G823" s="504"/>
      <c r="H823" s="504">
        <v>1000</v>
      </c>
      <c r="I823" s="237">
        <v>526</v>
      </c>
      <c r="J823" s="237"/>
      <c r="K823" s="237">
        <v>526</v>
      </c>
      <c r="L823" s="237"/>
      <c r="M823" s="237"/>
      <c r="N823" s="239">
        <v>525.809</v>
      </c>
      <c r="O823" s="239"/>
      <c r="P823" s="239">
        <f t="shared" si="308"/>
        <v>525.809</v>
      </c>
      <c r="Q823" s="505">
        <v>525.809</v>
      </c>
      <c r="R823" s="307"/>
      <c r="S823" s="307"/>
      <c r="T823" s="307"/>
      <c r="U823" s="306"/>
      <c r="V823" s="240"/>
      <c r="W823" s="240"/>
      <c r="X823" s="240"/>
      <c r="Y823" s="240"/>
      <c r="Z823" s="308"/>
      <c r="AA823" s="308"/>
      <c r="AB823" s="241"/>
      <c r="AC823" s="242"/>
      <c r="AD823" s="259"/>
      <c r="AE823" s="308"/>
      <c r="AF823" s="308"/>
      <c r="AG823" s="240"/>
      <c r="AH823" s="240"/>
      <c r="AI823" s="240"/>
      <c r="AJ823" s="240"/>
      <c r="AK823" s="308"/>
      <c r="AL823" s="244"/>
      <c r="AM823" s="236"/>
      <c r="AN823" s="378"/>
    </row>
    <row r="824" spans="1:40" s="506" customFormat="1" ht="19.5" customHeight="1">
      <c r="A824" s="263"/>
      <c r="B824" s="478" t="s">
        <v>689</v>
      </c>
      <c r="C824" s="502" t="s">
        <v>1267</v>
      </c>
      <c r="D824" s="502">
        <v>2014</v>
      </c>
      <c r="E824" s="503" t="s">
        <v>690</v>
      </c>
      <c r="F824" s="504">
        <v>4684.746376</v>
      </c>
      <c r="G824" s="504"/>
      <c r="H824" s="504">
        <v>1000</v>
      </c>
      <c r="I824" s="237">
        <v>1500</v>
      </c>
      <c r="J824" s="237"/>
      <c r="K824" s="237">
        <v>1500</v>
      </c>
      <c r="L824" s="237"/>
      <c r="M824" s="237"/>
      <c r="N824" s="239">
        <v>1499.999</v>
      </c>
      <c r="O824" s="239"/>
      <c r="P824" s="239">
        <f t="shared" si="308"/>
        <v>1499.999</v>
      </c>
      <c r="Q824" s="505">
        <v>1499.999</v>
      </c>
      <c r="R824" s="307"/>
      <c r="S824" s="307"/>
      <c r="T824" s="307"/>
      <c r="U824" s="306"/>
      <c r="V824" s="240"/>
      <c r="W824" s="240"/>
      <c r="X824" s="240"/>
      <c r="Y824" s="240"/>
      <c r="Z824" s="308"/>
      <c r="AA824" s="308"/>
      <c r="AB824" s="241"/>
      <c r="AC824" s="242"/>
      <c r="AD824" s="259"/>
      <c r="AE824" s="308"/>
      <c r="AF824" s="308"/>
      <c r="AG824" s="240"/>
      <c r="AH824" s="240"/>
      <c r="AI824" s="240"/>
      <c r="AJ824" s="240"/>
      <c r="AK824" s="308"/>
      <c r="AL824" s="244"/>
      <c r="AM824" s="236"/>
      <c r="AN824" s="378"/>
    </row>
    <row r="825" spans="1:40" s="506" customFormat="1" ht="19.5" customHeight="1">
      <c r="A825" s="263"/>
      <c r="B825" s="478" t="s">
        <v>691</v>
      </c>
      <c r="C825" s="502" t="s">
        <v>1267</v>
      </c>
      <c r="D825" s="502">
        <v>2014</v>
      </c>
      <c r="E825" s="503" t="s">
        <v>692</v>
      </c>
      <c r="F825" s="504">
        <v>1023.625145</v>
      </c>
      <c r="G825" s="504"/>
      <c r="H825" s="504">
        <v>1000</v>
      </c>
      <c r="I825" s="237">
        <v>23</v>
      </c>
      <c r="J825" s="237"/>
      <c r="K825" s="237">
        <v>23</v>
      </c>
      <c r="L825" s="237"/>
      <c r="M825" s="237"/>
      <c r="N825" s="239">
        <v>23</v>
      </c>
      <c r="O825" s="239"/>
      <c r="P825" s="239">
        <f t="shared" si="308"/>
        <v>23</v>
      </c>
      <c r="Q825" s="505">
        <v>23</v>
      </c>
      <c r="R825" s="307"/>
      <c r="S825" s="307"/>
      <c r="T825" s="307"/>
      <c r="U825" s="306"/>
      <c r="V825" s="240"/>
      <c r="W825" s="240"/>
      <c r="X825" s="240"/>
      <c r="Y825" s="240"/>
      <c r="Z825" s="308"/>
      <c r="AA825" s="308"/>
      <c r="AB825" s="241"/>
      <c r="AC825" s="242"/>
      <c r="AD825" s="259"/>
      <c r="AE825" s="308"/>
      <c r="AF825" s="308"/>
      <c r="AG825" s="240"/>
      <c r="AH825" s="240"/>
      <c r="AI825" s="240"/>
      <c r="AJ825" s="240"/>
      <c r="AK825" s="308"/>
      <c r="AL825" s="244"/>
      <c r="AM825" s="236"/>
      <c r="AN825" s="378"/>
    </row>
    <row r="826" spans="1:40" s="506" customFormat="1" ht="19.5" customHeight="1">
      <c r="A826" s="263"/>
      <c r="B826" s="478" t="s">
        <v>693</v>
      </c>
      <c r="C826" s="502" t="s">
        <v>1267</v>
      </c>
      <c r="D826" s="502">
        <v>2014</v>
      </c>
      <c r="E826" s="503" t="s">
        <v>694</v>
      </c>
      <c r="F826" s="504">
        <v>1836.731324</v>
      </c>
      <c r="G826" s="504"/>
      <c r="H826" s="504">
        <v>1000</v>
      </c>
      <c r="I826" s="237">
        <v>836</v>
      </c>
      <c r="J826" s="237"/>
      <c r="K826" s="237">
        <v>836</v>
      </c>
      <c r="L826" s="237"/>
      <c r="M826" s="237"/>
      <c r="N826" s="239">
        <v>835.721</v>
      </c>
      <c r="O826" s="239"/>
      <c r="P826" s="239">
        <f t="shared" si="308"/>
        <v>835.721</v>
      </c>
      <c r="Q826" s="505">
        <v>835.721</v>
      </c>
      <c r="R826" s="307"/>
      <c r="S826" s="307"/>
      <c r="T826" s="307"/>
      <c r="U826" s="306"/>
      <c r="V826" s="240"/>
      <c r="W826" s="240"/>
      <c r="X826" s="240"/>
      <c r="Y826" s="240"/>
      <c r="Z826" s="308"/>
      <c r="AA826" s="308"/>
      <c r="AB826" s="241"/>
      <c r="AC826" s="242"/>
      <c r="AD826" s="259"/>
      <c r="AE826" s="308"/>
      <c r="AF826" s="308"/>
      <c r="AG826" s="240"/>
      <c r="AH826" s="240"/>
      <c r="AI826" s="240"/>
      <c r="AJ826" s="240"/>
      <c r="AK826" s="308"/>
      <c r="AL826" s="244"/>
      <c r="AM826" s="236"/>
      <c r="AN826" s="378"/>
    </row>
    <row r="827" spans="1:40" s="506" customFormat="1" ht="19.5" customHeight="1">
      <c r="A827" s="263"/>
      <c r="B827" s="478" t="s">
        <v>695</v>
      </c>
      <c r="C827" s="502" t="s">
        <v>1267</v>
      </c>
      <c r="D827" s="502">
        <v>2014</v>
      </c>
      <c r="E827" s="503" t="s">
        <v>696</v>
      </c>
      <c r="F827" s="504">
        <v>2996.574737</v>
      </c>
      <c r="G827" s="504"/>
      <c r="H827" s="504">
        <v>1000</v>
      </c>
      <c r="I827" s="237">
        <v>1000</v>
      </c>
      <c r="J827" s="237"/>
      <c r="K827" s="237">
        <v>1000</v>
      </c>
      <c r="L827" s="237"/>
      <c r="M827" s="237"/>
      <c r="N827" s="239">
        <v>1000</v>
      </c>
      <c r="O827" s="239"/>
      <c r="P827" s="239">
        <f t="shared" si="308"/>
        <v>1000</v>
      </c>
      <c r="Q827" s="505">
        <v>1000</v>
      </c>
      <c r="R827" s="307"/>
      <c r="S827" s="307"/>
      <c r="T827" s="307"/>
      <c r="U827" s="306"/>
      <c r="V827" s="240"/>
      <c r="W827" s="240"/>
      <c r="X827" s="240"/>
      <c r="Y827" s="240"/>
      <c r="Z827" s="308"/>
      <c r="AA827" s="308"/>
      <c r="AB827" s="241"/>
      <c r="AC827" s="242"/>
      <c r="AD827" s="259"/>
      <c r="AE827" s="308"/>
      <c r="AF827" s="308"/>
      <c r="AG827" s="240"/>
      <c r="AH827" s="240"/>
      <c r="AI827" s="240"/>
      <c r="AJ827" s="240"/>
      <c r="AK827" s="308"/>
      <c r="AL827" s="244"/>
      <c r="AM827" s="236"/>
      <c r="AN827" s="378"/>
    </row>
    <row r="828" spans="1:40" s="506" customFormat="1" ht="19.5" customHeight="1">
      <c r="A828" s="263"/>
      <c r="B828" s="478" t="s">
        <v>697</v>
      </c>
      <c r="C828" s="502" t="s">
        <v>1267</v>
      </c>
      <c r="D828" s="502">
        <v>2014</v>
      </c>
      <c r="E828" s="503" t="s">
        <v>698</v>
      </c>
      <c r="F828" s="504">
        <v>2260.401744</v>
      </c>
      <c r="G828" s="504"/>
      <c r="H828" s="504">
        <v>1000</v>
      </c>
      <c r="I828" s="237">
        <v>1000</v>
      </c>
      <c r="J828" s="237"/>
      <c r="K828" s="237">
        <v>1000</v>
      </c>
      <c r="L828" s="237"/>
      <c r="M828" s="237"/>
      <c r="N828" s="239">
        <v>999.998</v>
      </c>
      <c r="O828" s="239"/>
      <c r="P828" s="239">
        <f t="shared" si="308"/>
        <v>999.998</v>
      </c>
      <c r="Q828" s="505">
        <v>999.998</v>
      </c>
      <c r="R828" s="307"/>
      <c r="S828" s="307"/>
      <c r="T828" s="307"/>
      <c r="U828" s="306"/>
      <c r="V828" s="240"/>
      <c r="W828" s="240"/>
      <c r="X828" s="240"/>
      <c r="Y828" s="240"/>
      <c r="Z828" s="308"/>
      <c r="AA828" s="308"/>
      <c r="AB828" s="241"/>
      <c r="AC828" s="242"/>
      <c r="AD828" s="259"/>
      <c r="AE828" s="308"/>
      <c r="AF828" s="308"/>
      <c r="AG828" s="240"/>
      <c r="AH828" s="240"/>
      <c r="AI828" s="240"/>
      <c r="AJ828" s="240"/>
      <c r="AK828" s="308"/>
      <c r="AL828" s="244"/>
      <c r="AM828" s="236"/>
      <c r="AN828" s="378"/>
    </row>
    <row r="829" spans="1:40" s="506" customFormat="1" ht="19.5" customHeight="1">
      <c r="A829" s="263"/>
      <c r="B829" s="478" t="s">
        <v>699</v>
      </c>
      <c r="C829" s="502" t="s">
        <v>1267</v>
      </c>
      <c r="D829" s="502">
        <v>2014</v>
      </c>
      <c r="E829" s="503" t="s">
        <v>700</v>
      </c>
      <c r="F829" s="504">
        <v>2349.838134</v>
      </c>
      <c r="G829" s="504"/>
      <c r="H829" s="504">
        <v>1000</v>
      </c>
      <c r="I829" s="237">
        <v>900</v>
      </c>
      <c r="J829" s="237"/>
      <c r="K829" s="237">
        <v>900</v>
      </c>
      <c r="L829" s="237"/>
      <c r="M829" s="237"/>
      <c r="N829" s="239">
        <v>900</v>
      </c>
      <c r="O829" s="239"/>
      <c r="P829" s="239">
        <f t="shared" si="308"/>
        <v>900</v>
      </c>
      <c r="Q829" s="505">
        <v>900</v>
      </c>
      <c r="R829" s="307"/>
      <c r="S829" s="307"/>
      <c r="T829" s="307"/>
      <c r="U829" s="306"/>
      <c r="V829" s="240"/>
      <c r="W829" s="240"/>
      <c r="X829" s="240"/>
      <c r="Y829" s="240"/>
      <c r="Z829" s="308"/>
      <c r="AA829" s="308"/>
      <c r="AB829" s="241"/>
      <c r="AC829" s="242"/>
      <c r="AD829" s="259"/>
      <c r="AE829" s="308"/>
      <c r="AF829" s="308"/>
      <c r="AG829" s="240"/>
      <c r="AH829" s="240"/>
      <c r="AI829" s="240"/>
      <c r="AJ829" s="240"/>
      <c r="AK829" s="308"/>
      <c r="AL829" s="244"/>
      <c r="AM829" s="236"/>
      <c r="AN829" s="378"/>
    </row>
    <row r="830" spans="1:40" s="506" customFormat="1" ht="19.5" customHeight="1">
      <c r="A830" s="263"/>
      <c r="B830" s="478" t="s">
        <v>701</v>
      </c>
      <c r="C830" s="502" t="s">
        <v>1267</v>
      </c>
      <c r="D830" s="502">
        <v>2014</v>
      </c>
      <c r="E830" s="503" t="s">
        <v>702</v>
      </c>
      <c r="F830" s="504">
        <v>960.944219</v>
      </c>
      <c r="G830" s="504"/>
      <c r="H830" s="504">
        <v>200</v>
      </c>
      <c r="I830" s="237">
        <v>200</v>
      </c>
      <c r="J830" s="237"/>
      <c r="K830" s="237">
        <v>200</v>
      </c>
      <c r="L830" s="237"/>
      <c r="M830" s="237"/>
      <c r="N830" s="239">
        <v>200</v>
      </c>
      <c r="O830" s="239"/>
      <c r="P830" s="239">
        <f t="shared" si="308"/>
        <v>200</v>
      </c>
      <c r="Q830" s="505">
        <v>200</v>
      </c>
      <c r="R830" s="307"/>
      <c r="S830" s="307"/>
      <c r="T830" s="307"/>
      <c r="U830" s="306"/>
      <c r="V830" s="240"/>
      <c r="W830" s="240"/>
      <c r="X830" s="240"/>
      <c r="Y830" s="240"/>
      <c r="Z830" s="308"/>
      <c r="AA830" s="308"/>
      <c r="AB830" s="241"/>
      <c r="AC830" s="242"/>
      <c r="AD830" s="259"/>
      <c r="AE830" s="308"/>
      <c r="AF830" s="308"/>
      <c r="AG830" s="240"/>
      <c r="AH830" s="240"/>
      <c r="AI830" s="240"/>
      <c r="AJ830" s="240"/>
      <c r="AK830" s="308"/>
      <c r="AL830" s="244"/>
      <c r="AM830" s="236"/>
      <c r="AN830" s="378"/>
    </row>
    <row r="831" spans="1:40" s="506" customFormat="1" ht="19.5" customHeight="1">
      <c r="A831" s="263"/>
      <c r="B831" s="478" t="s">
        <v>703</v>
      </c>
      <c r="C831" s="502" t="s">
        <v>1267</v>
      </c>
      <c r="D831" s="502">
        <v>2014</v>
      </c>
      <c r="E831" s="503" t="s">
        <v>704</v>
      </c>
      <c r="F831" s="504">
        <v>2776.777421</v>
      </c>
      <c r="G831" s="504"/>
      <c r="H831" s="504">
        <v>1000</v>
      </c>
      <c r="I831" s="237">
        <v>921</v>
      </c>
      <c r="J831" s="237"/>
      <c r="K831" s="237">
        <v>921</v>
      </c>
      <c r="L831" s="237"/>
      <c r="M831" s="237"/>
      <c r="N831" s="239">
        <v>921</v>
      </c>
      <c r="O831" s="239"/>
      <c r="P831" s="239">
        <f t="shared" si="308"/>
        <v>921</v>
      </c>
      <c r="Q831" s="505">
        <v>921</v>
      </c>
      <c r="R831" s="307"/>
      <c r="S831" s="307"/>
      <c r="T831" s="307"/>
      <c r="U831" s="306"/>
      <c r="V831" s="240"/>
      <c r="W831" s="240"/>
      <c r="X831" s="240"/>
      <c r="Y831" s="240"/>
      <c r="Z831" s="308"/>
      <c r="AA831" s="308"/>
      <c r="AB831" s="241"/>
      <c r="AC831" s="242"/>
      <c r="AD831" s="259"/>
      <c r="AE831" s="308"/>
      <c r="AF831" s="308"/>
      <c r="AG831" s="240"/>
      <c r="AH831" s="240"/>
      <c r="AI831" s="240"/>
      <c r="AJ831" s="240"/>
      <c r="AK831" s="308"/>
      <c r="AL831" s="244"/>
      <c r="AM831" s="236"/>
      <c r="AN831" s="378"/>
    </row>
    <row r="832" spans="1:40" s="506" customFormat="1" ht="19.5" customHeight="1">
      <c r="A832" s="263"/>
      <c r="B832" s="478" t="s">
        <v>705</v>
      </c>
      <c r="C832" s="502" t="s">
        <v>1267</v>
      </c>
      <c r="D832" s="502">
        <v>2014</v>
      </c>
      <c r="E832" s="503" t="s">
        <v>706</v>
      </c>
      <c r="F832" s="504">
        <v>1701.457836</v>
      </c>
      <c r="G832" s="504"/>
      <c r="H832" s="504">
        <v>1000</v>
      </c>
      <c r="I832" s="237">
        <v>699</v>
      </c>
      <c r="J832" s="237"/>
      <c r="K832" s="237">
        <v>699</v>
      </c>
      <c r="L832" s="237"/>
      <c r="M832" s="237"/>
      <c r="N832" s="239">
        <v>698.999</v>
      </c>
      <c r="O832" s="239"/>
      <c r="P832" s="239">
        <f t="shared" si="308"/>
        <v>698.999</v>
      </c>
      <c r="Q832" s="505">
        <v>698.999</v>
      </c>
      <c r="R832" s="307"/>
      <c r="S832" s="307"/>
      <c r="T832" s="307"/>
      <c r="U832" s="306"/>
      <c r="V832" s="240"/>
      <c r="W832" s="240"/>
      <c r="X832" s="240"/>
      <c r="Y832" s="240"/>
      <c r="Z832" s="308"/>
      <c r="AA832" s="308"/>
      <c r="AB832" s="241"/>
      <c r="AC832" s="242"/>
      <c r="AD832" s="259"/>
      <c r="AE832" s="308"/>
      <c r="AF832" s="308"/>
      <c r="AG832" s="240"/>
      <c r="AH832" s="240"/>
      <c r="AI832" s="240"/>
      <c r="AJ832" s="240"/>
      <c r="AK832" s="308"/>
      <c r="AL832" s="244"/>
      <c r="AM832" s="236"/>
      <c r="AN832" s="378"/>
    </row>
    <row r="833" spans="1:40" s="506" customFormat="1" ht="19.5" customHeight="1">
      <c r="A833" s="263"/>
      <c r="B833" s="478" t="s">
        <v>707</v>
      </c>
      <c r="C833" s="502" t="s">
        <v>1267</v>
      </c>
      <c r="D833" s="502">
        <v>2014</v>
      </c>
      <c r="E833" s="503" t="s">
        <v>708</v>
      </c>
      <c r="F833" s="504">
        <v>4137.576861</v>
      </c>
      <c r="G833" s="504"/>
      <c r="H833" s="504">
        <v>1000</v>
      </c>
      <c r="I833" s="237">
        <v>1000</v>
      </c>
      <c r="J833" s="237"/>
      <c r="K833" s="237">
        <v>1000</v>
      </c>
      <c r="L833" s="237"/>
      <c r="M833" s="237"/>
      <c r="N833" s="239">
        <v>1000</v>
      </c>
      <c r="O833" s="239"/>
      <c r="P833" s="239">
        <f t="shared" si="308"/>
        <v>1000</v>
      </c>
      <c r="Q833" s="505">
        <v>1000</v>
      </c>
      <c r="R833" s="307"/>
      <c r="S833" s="307"/>
      <c r="T833" s="307"/>
      <c r="U833" s="306"/>
      <c r="V833" s="240"/>
      <c r="W833" s="240"/>
      <c r="X833" s="240"/>
      <c r="Y833" s="240"/>
      <c r="Z833" s="308"/>
      <c r="AA833" s="308"/>
      <c r="AB833" s="241"/>
      <c r="AC833" s="242"/>
      <c r="AD833" s="259"/>
      <c r="AE833" s="308"/>
      <c r="AF833" s="308"/>
      <c r="AG833" s="240"/>
      <c r="AH833" s="240"/>
      <c r="AI833" s="240"/>
      <c r="AJ833" s="240"/>
      <c r="AK833" s="308"/>
      <c r="AL833" s="244"/>
      <c r="AM833" s="236"/>
      <c r="AN833" s="378"/>
    </row>
    <row r="834" spans="1:40" s="506" customFormat="1" ht="19.5" customHeight="1">
      <c r="A834" s="263"/>
      <c r="B834" s="478" t="s">
        <v>709</v>
      </c>
      <c r="C834" s="502" t="s">
        <v>1267</v>
      </c>
      <c r="D834" s="502">
        <v>2014</v>
      </c>
      <c r="E834" s="503" t="s">
        <v>696</v>
      </c>
      <c r="F834" s="504">
        <v>2983.528226</v>
      </c>
      <c r="G834" s="504"/>
      <c r="H834" s="504">
        <v>1000</v>
      </c>
      <c r="I834" s="237">
        <v>1000</v>
      </c>
      <c r="J834" s="237"/>
      <c r="K834" s="237">
        <v>1000</v>
      </c>
      <c r="L834" s="237"/>
      <c r="M834" s="237"/>
      <c r="N834" s="239">
        <v>1000</v>
      </c>
      <c r="O834" s="239"/>
      <c r="P834" s="239">
        <f t="shared" si="308"/>
        <v>1000</v>
      </c>
      <c r="Q834" s="505">
        <v>1000</v>
      </c>
      <c r="R834" s="307"/>
      <c r="S834" s="307"/>
      <c r="T834" s="307"/>
      <c r="U834" s="306"/>
      <c r="V834" s="240"/>
      <c r="W834" s="240"/>
      <c r="X834" s="240"/>
      <c r="Y834" s="240"/>
      <c r="Z834" s="308"/>
      <c r="AA834" s="308"/>
      <c r="AB834" s="241"/>
      <c r="AC834" s="242"/>
      <c r="AD834" s="259"/>
      <c r="AE834" s="308"/>
      <c r="AF834" s="308"/>
      <c r="AG834" s="240"/>
      <c r="AH834" s="240"/>
      <c r="AI834" s="240"/>
      <c r="AJ834" s="240"/>
      <c r="AK834" s="308"/>
      <c r="AL834" s="244"/>
      <c r="AM834" s="236"/>
      <c r="AN834" s="378"/>
    </row>
    <row r="835" spans="1:40" s="506" customFormat="1" ht="19.5" customHeight="1">
      <c r="A835" s="263"/>
      <c r="B835" s="478" t="s">
        <v>710</v>
      </c>
      <c r="C835" s="502" t="s">
        <v>1267</v>
      </c>
      <c r="D835" s="502">
        <v>2015</v>
      </c>
      <c r="E835" s="503" t="s">
        <v>711</v>
      </c>
      <c r="F835" s="504">
        <v>3000</v>
      </c>
      <c r="G835" s="504"/>
      <c r="H835" s="504"/>
      <c r="I835" s="237">
        <v>450</v>
      </c>
      <c r="J835" s="237"/>
      <c r="K835" s="237">
        <v>450</v>
      </c>
      <c r="L835" s="237"/>
      <c r="M835" s="237"/>
      <c r="N835" s="239">
        <v>450</v>
      </c>
      <c r="O835" s="239"/>
      <c r="P835" s="239">
        <f t="shared" si="308"/>
        <v>450</v>
      </c>
      <c r="Q835" s="505">
        <v>450</v>
      </c>
      <c r="R835" s="307"/>
      <c r="S835" s="307"/>
      <c r="T835" s="307"/>
      <c r="U835" s="306"/>
      <c r="V835" s="240"/>
      <c r="W835" s="240"/>
      <c r="X835" s="240"/>
      <c r="Y835" s="240"/>
      <c r="Z835" s="308"/>
      <c r="AA835" s="308"/>
      <c r="AB835" s="241"/>
      <c r="AC835" s="242"/>
      <c r="AD835" s="259"/>
      <c r="AE835" s="308"/>
      <c r="AF835" s="308"/>
      <c r="AG835" s="240"/>
      <c r="AH835" s="240"/>
      <c r="AI835" s="240"/>
      <c r="AJ835" s="240"/>
      <c r="AK835" s="308"/>
      <c r="AL835" s="244"/>
      <c r="AM835" s="236"/>
      <c r="AN835" s="378"/>
    </row>
    <row r="836" spans="1:40" s="506" customFormat="1" ht="19.5" customHeight="1">
      <c r="A836" s="263"/>
      <c r="B836" s="478" t="s">
        <v>712</v>
      </c>
      <c r="C836" s="502" t="s">
        <v>1267</v>
      </c>
      <c r="D836" s="502">
        <v>2015</v>
      </c>
      <c r="E836" s="503" t="s">
        <v>713</v>
      </c>
      <c r="F836" s="504">
        <v>1800</v>
      </c>
      <c r="G836" s="504"/>
      <c r="H836" s="504"/>
      <c r="I836" s="237">
        <v>500</v>
      </c>
      <c r="J836" s="237"/>
      <c r="K836" s="237">
        <v>500</v>
      </c>
      <c r="L836" s="237"/>
      <c r="M836" s="237"/>
      <c r="N836" s="239">
        <v>500</v>
      </c>
      <c r="O836" s="239"/>
      <c r="P836" s="239">
        <f t="shared" si="308"/>
        <v>500</v>
      </c>
      <c r="Q836" s="505">
        <v>500</v>
      </c>
      <c r="R836" s="307"/>
      <c r="S836" s="307"/>
      <c r="T836" s="307"/>
      <c r="U836" s="306"/>
      <c r="V836" s="240"/>
      <c r="W836" s="240"/>
      <c r="X836" s="240"/>
      <c r="Y836" s="240"/>
      <c r="Z836" s="308"/>
      <c r="AA836" s="308"/>
      <c r="AB836" s="241"/>
      <c r="AC836" s="242"/>
      <c r="AD836" s="259"/>
      <c r="AE836" s="308"/>
      <c r="AF836" s="308"/>
      <c r="AG836" s="240"/>
      <c r="AH836" s="240"/>
      <c r="AI836" s="240"/>
      <c r="AJ836" s="240"/>
      <c r="AK836" s="308"/>
      <c r="AL836" s="244"/>
      <c r="AM836" s="236"/>
      <c r="AN836" s="378"/>
    </row>
    <row r="837" spans="1:40" s="506" customFormat="1" ht="19.5" customHeight="1">
      <c r="A837" s="263"/>
      <c r="B837" s="478" t="s">
        <v>714</v>
      </c>
      <c r="C837" s="502" t="s">
        <v>1267</v>
      </c>
      <c r="D837" s="502">
        <v>2015</v>
      </c>
      <c r="E837" s="503" t="s">
        <v>715</v>
      </c>
      <c r="F837" s="504">
        <v>3000</v>
      </c>
      <c r="G837" s="504"/>
      <c r="H837" s="504"/>
      <c r="I837" s="237">
        <v>400</v>
      </c>
      <c r="J837" s="237"/>
      <c r="K837" s="237">
        <v>400</v>
      </c>
      <c r="L837" s="237"/>
      <c r="M837" s="237"/>
      <c r="N837" s="239">
        <v>400</v>
      </c>
      <c r="O837" s="239"/>
      <c r="P837" s="239">
        <f t="shared" si="308"/>
        <v>400</v>
      </c>
      <c r="Q837" s="505">
        <v>400</v>
      </c>
      <c r="R837" s="307"/>
      <c r="S837" s="307"/>
      <c r="T837" s="307"/>
      <c r="U837" s="306"/>
      <c r="V837" s="240"/>
      <c r="W837" s="240"/>
      <c r="X837" s="240"/>
      <c r="Y837" s="240"/>
      <c r="Z837" s="308"/>
      <c r="AA837" s="308"/>
      <c r="AB837" s="241"/>
      <c r="AC837" s="242"/>
      <c r="AD837" s="259"/>
      <c r="AE837" s="308"/>
      <c r="AF837" s="308"/>
      <c r="AG837" s="240"/>
      <c r="AH837" s="240"/>
      <c r="AI837" s="240"/>
      <c r="AJ837" s="240"/>
      <c r="AK837" s="308"/>
      <c r="AL837" s="244"/>
      <c r="AM837" s="236"/>
      <c r="AN837" s="378"/>
    </row>
    <row r="838" spans="1:40" s="506" customFormat="1" ht="19.5" customHeight="1">
      <c r="A838" s="263"/>
      <c r="B838" s="478" t="s">
        <v>716</v>
      </c>
      <c r="C838" s="502" t="s">
        <v>1267</v>
      </c>
      <c r="D838" s="502">
        <v>2015</v>
      </c>
      <c r="E838" s="503">
        <v>452.93</v>
      </c>
      <c r="F838" s="504">
        <v>1100</v>
      </c>
      <c r="G838" s="504"/>
      <c r="H838" s="504"/>
      <c r="I838" s="237">
        <v>500</v>
      </c>
      <c r="J838" s="237"/>
      <c r="K838" s="237">
        <v>500</v>
      </c>
      <c r="L838" s="237"/>
      <c r="M838" s="237"/>
      <c r="N838" s="239">
        <v>500</v>
      </c>
      <c r="O838" s="239"/>
      <c r="P838" s="239">
        <f t="shared" si="308"/>
        <v>500</v>
      </c>
      <c r="Q838" s="505">
        <v>500</v>
      </c>
      <c r="R838" s="307"/>
      <c r="S838" s="307"/>
      <c r="T838" s="307"/>
      <c r="U838" s="306"/>
      <c r="V838" s="240"/>
      <c r="W838" s="240"/>
      <c r="X838" s="240"/>
      <c r="Y838" s="240"/>
      <c r="Z838" s="308"/>
      <c r="AA838" s="308"/>
      <c r="AB838" s="241"/>
      <c r="AC838" s="242"/>
      <c r="AD838" s="259"/>
      <c r="AE838" s="308"/>
      <c r="AF838" s="308"/>
      <c r="AG838" s="240"/>
      <c r="AH838" s="240"/>
      <c r="AI838" s="240"/>
      <c r="AJ838" s="240"/>
      <c r="AK838" s="308"/>
      <c r="AL838" s="244"/>
      <c r="AM838" s="236"/>
      <c r="AN838" s="378"/>
    </row>
    <row r="839" spans="1:40" s="506" customFormat="1" ht="19.5" customHeight="1">
      <c r="A839" s="263"/>
      <c r="B839" s="478" t="s">
        <v>717</v>
      </c>
      <c r="C839" s="502" t="s">
        <v>1608</v>
      </c>
      <c r="D839" s="502"/>
      <c r="E839" s="503">
        <v>2014</v>
      </c>
      <c r="F839" s="504">
        <v>783.494106</v>
      </c>
      <c r="G839" s="504">
        <v>579.6325</v>
      </c>
      <c r="H839" s="504">
        <v>200</v>
      </c>
      <c r="I839" s="237">
        <f>SUM(K839,M839)</f>
        <v>395</v>
      </c>
      <c r="J839" s="237"/>
      <c r="K839" s="237">
        <v>395</v>
      </c>
      <c r="L839" s="237"/>
      <c r="M839" s="237"/>
      <c r="N839" s="239">
        <f>SUM(P839,U839)</f>
        <v>379.63</v>
      </c>
      <c r="O839" s="239"/>
      <c r="P839" s="239">
        <f>SUM(Q839:S839)</f>
        <v>379.63</v>
      </c>
      <c r="Q839" s="505">
        <v>379.63</v>
      </c>
      <c r="R839" s="307"/>
      <c r="S839" s="307"/>
      <c r="T839" s="307"/>
      <c r="U839" s="306"/>
      <c r="V839" s="240"/>
      <c r="W839" s="240"/>
      <c r="X839" s="240"/>
      <c r="Y839" s="240"/>
      <c r="Z839" s="308"/>
      <c r="AA839" s="308"/>
      <c r="AB839" s="241"/>
      <c r="AC839" s="242"/>
      <c r="AD839" s="259"/>
      <c r="AE839" s="308"/>
      <c r="AF839" s="308"/>
      <c r="AG839" s="240"/>
      <c r="AH839" s="240"/>
      <c r="AI839" s="240"/>
      <c r="AJ839" s="240"/>
      <c r="AK839" s="308"/>
      <c r="AL839" s="244"/>
      <c r="AM839" s="236"/>
      <c r="AN839" s="378"/>
    </row>
    <row r="840" spans="1:40" s="506" customFormat="1" ht="19.5" customHeight="1">
      <c r="A840" s="263"/>
      <c r="B840" s="478" t="s">
        <v>718</v>
      </c>
      <c r="C840" s="502" t="s">
        <v>1267</v>
      </c>
      <c r="D840" s="502"/>
      <c r="E840" s="503">
        <v>2014</v>
      </c>
      <c r="F840" s="504">
        <v>2950</v>
      </c>
      <c r="G840" s="504">
        <v>2702.5055</v>
      </c>
      <c r="H840" s="504">
        <v>1000</v>
      </c>
      <c r="I840" s="237">
        <f aca="true" t="shared" si="309" ref="I840:I856">SUM(K840,M840)</f>
        <v>1000</v>
      </c>
      <c r="J840" s="237"/>
      <c r="K840" s="237">
        <v>1000</v>
      </c>
      <c r="L840" s="237"/>
      <c r="M840" s="237"/>
      <c r="N840" s="239">
        <f aca="true" t="shared" si="310" ref="N840:N856">SUM(P840,U840)</f>
        <v>1000</v>
      </c>
      <c r="O840" s="239"/>
      <c r="P840" s="239">
        <f aca="true" t="shared" si="311" ref="P840:P856">SUM(Q840:S840)</f>
        <v>1000</v>
      </c>
      <c r="Q840" s="505">
        <v>1000</v>
      </c>
      <c r="R840" s="307"/>
      <c r="S840" s="307"/>
      <c r="T840" s="307"/>
      <c r="U840" s="306"/>
      <c r="V840" s="240"/>
      <c r="W840" s="240"/>
      <c r="X840" s="240"/>
      <c r="Y840" s="240"/>
      <c r="Z840" s="308"/>
      <c r="AA840" s="308"/>
      <c r="AB840" s="241"/>
      <c r="AC840" s="242"/>
      <c r="AD840" s="259"/>
      <c r="AE840" s="308"/>
      <c r="AF840" s="308"/>
      <c r="AG840" s="240"/>
      <c r="AH840" s="240"/>
      <c r="AI840" s="240"/>
      <c r="AJ840" s="240"/>
      <c r="AK840" s="308"/>
      <c r="AL840" s="244"/>
      <c r="AM840" s="236"/>
      <c r="AN840" s="378"/>
    </row>
    <row r="841" spans="1:40" s="506" customFormat="1" ht="19.5" customHeight="1">
      <c r="A841" s="263"/>
      <c r="B841" s="478" t="s">
        <v>719</v>
      </c>
      <c r="C841" s="502" t="s">
        <v>1267</v>
      </c>
      <c r="D841" s="502"/>
      <c r="E841" s="503">
        <v>2014</v>
      </c>
      <c r="F841" s="504">
        <v>1500</v>
      </c>
      <c r="G841" s="504">
        <v>1467</v>
      </c>
      <c r="H841" s="504">
        <v>900</v>
      </c>
      <c r="I841" s="237">
        <f t="shared" si="309"/>
        <v>567</v>
      </c>
      <c r="J841" s="237"/>
      <c r="K841" s="237">
        <v>567</v>
      </c>
      <c r="L841" s="237"/>
      <c r="M841" s="237"/>
      <c r="N841" s="239">
        <f t="shared" si="310"/>
        <v>567</v>
      </c>
      <c r="O841" s="239"/>
      <c r="P841" s="239">
        <f t="shared" si="311"/>
        <v>567</v>
      </c>
      <c r="Q841" s="505">
        <v>567</v>
      </c>
      <c r="R841" s="307"/>
      <c r="S841" s="307"/>
      <c r="T841" s="307"/>
      <c r="U841" s="306"/>
      <c r="V841" s="240"/>
      <c r="W841" s="240"/>
      <c r="X841" s="240"/>
      <c r="Y841" s="240"/>
      <c r="Z841" s="308"/>
      <c r="AA841" s="308"/>
      <c r="AB841" s="241"/>
      <c r="AC841" s="242"/>
      <c r="AD841" s="259"/>
      <c r="AE841" s="308"/>
      <c r="AF841" s="308"/>
      <c r="AG841" s="240"/>
      <c r="AH841" s="240"/>
      <c r="AI841" s="240"/>
      <c r="AJ841" s="240"/>
      <c r="AK841" s="308"/>
      <c r="AL841" s="244"/>
      <c r="AM841" s="236"/>
      <c r="AN841" s="378"/>
    </row>
    <row r="842" spans="1:40" s="506" customFormat="1" ht="19.5" customHeight="1">
      <c r="A842" s="263"/>
      <c r="B842" s="478" t="s">
        <v>720</v>
      </c>
      <c r="C842" s="502" t="s">
        <v>1267</v>
      </c>
      <c r="D842" s="502"/>
      <c r="E842" s="503">
        <v>2014</v>
      </c>
      <c r="F842" s="504">
        <v>1660</v>
      </c>
      <c r="G842" s="504">
        <v>1630.992</v>
      </c>
      <c r="H842" s="504">
        <v>900</v>
      </c>
      <c r="I842" s="237">
        <f t="shared" si="309"/>
        <v>731</v>
      </c>
      <c r="J842" s="237"/>
      <c r="K842" s="237">
        <v>731</v>
      </c>
      <c r="L842" s="237"/>
      <c r="M842" s="237"/>
      <c r="N842" s="239">
        <f t="shared" si="310"/>
        <v>730.99</v>
      </c>
      <c r="O842" s="239"/>
      <c r="P842" s="239">
        <f>SUM(Q842:S842)</f>
        <v>730.99</v>
      </c>
      <c r="Q842" s="505">
        <v>730.99</v>
      </c>
      <c r="R842" s="307"/>
      <c r="S842" s="307"/>
      <c r="T842" s="307"/>
      <c r="U842" s="306"/>
      <c r="V842" s="240"/>
      <c r="W842" s="240"/>
      <c r="X842" s="240"/>
      <c r="Y842" s="240"/>
      <c r="Z842" s="308"/>
      <c r="AA842" s="308"/>
      <c r="AB842" s="241"/>
      <c r="AC842" s="242"/>
      <c r="AD842" s="259"/>
      <c r="AE842" s="308"/>
      <c r="AF842" s="308"/>
      <c r="AG842" s="240"/>
      <c r="AH842" s="240"/>
      <c r="AI842" s="240"/>
      <c r="AJ842" s="240"/>
      <c r="AK842" s="308"/>
      <c r="AL842" s="244"/>
      <c r="AM842" s="236"/>
      <c r="AN842" s="378"/>
    </row>
    <row r="843" spans="1:40" s="506" customFormat="1" ht="19.5" customHeight="1">
      <c r="A843" s="263"/>
      <c r="B843" s="478" t="s">
        <v>721</v>
      </c>
      <c r="C843" s="502" t="s">
        <v>1267</v>
      </c>
      <c r="D843" s="502"/>
      <c r="E843" s="503">
        <v>2014</v>
      </c>
      <c r="F843" s="504">
        <v>1500</v>
      </c>
      <c r="G843" s="504">
        <v>1480.293</v>
      </c>
      <c r="H843" s="504">
        <v>1000</v>
      </c>
      <c r="I843" s="237">
        <f t="shared" si="309"/>
        <v>494</v>
      </c>
      <c r="J843" s="237"/>
      <c r="K843" s="237">
        <v>494</v>
      </c>
      <c r="L843" s="237"/>
      <c r="M843" s="237"/>
      <c r="N843" s="239">
        <f t="shared" si="310"/>
        <v>480.29</v>
      </c>
      <c r="O843" s="239"/>
      <c r="P843" s="239">
        <f t="shared" si="311"/>
        <v>480.29</v>
      </c>
      <c r="Q843" s="505">
        <v>480.29</v>
      </c>
      <c r="R843" s="307"/>
      <c r="S843" s="307"/>
      <c r="T843" s="307"/>
      <c r="U843" s="306"/>
      <c r="V843" s="240"/>
      <c r="W843" s="240"/>
      <c r="X843" s="240"/>
      <c r="Y843" s="240"/>
      <c r="Z843" s="308"/>
      <c r="AA843" s="308"/>
      <c r="AB843" s="241"/>
      <c r="AC843" s="242"/>
      <c r="AD843" s="259"/>
      <c r="AE843" s="308"/>
      <c r="AF843" s="308"/>
      <c r="AG843" s="240"/>
      <c r="AH843" s="240"/>
      <c r="AI843" s="240"/>
      <c r="AJ843" s="240"/>
      <c r="AK843" s="308"/>
      <c r="AL843" s="244"/>
      <c r="AM843" s="236"/>
      <c r="AN843" s="378"/>
    </row>
    <row r="844" spans="1:40" s="506" customFormat="1" ht="19.5" customHeight="1">
      <c r="A844" s="263"/>
      <c r="B844" s="478" t="s">
        <v>722</v>
      </c>
      <c r="C844" s="502" t="s">
        <v>1267</v>
      </c>
      <c r="D844" s="502"/>
      <c r="E844" s="503">
        <v>2014</v>
      </c>
      <c r="F844" s="504">
        <v>3000</v>
      </c>
      <c r="G844" s="504">
        <v>2927.576</v>
      </c>
      <c r="H844" s="504">
        <v>1000</v>
      </c>
      <c r="I844" s="237">
        <f t="shared" si="309"/>
        <v>1000</v>
      </c>
      <c r="J844" s="237"/>
      <c r="K844" s="237">
        <v>1000</v>
      </c>
      <c r="L844" s="237"/>
      <c r="M844" s="237"/>
      <c r="N844" s="239">
        <f t="shared" si="310"/>
        <v>1000</v>
      </c>
      <c r="O844" s="239"/>
      <c r="P844" s="239">
        <f t="shared" si="311"/>
        <v>1000</v>
      </c>
      <c r="Q844" s="505">
        <v>1000</v>
      </c>
      <c r="R844" s="307"/>
      <c r="S844" s="307"/>
      <c r="T844" s="307"/>
      <c r="U844" s="306"/>
      <c r="V844" s="240"/>
      <c r="W844" s="240"/>
      <c r="X844" s="240"/>
      <c r="Y844" s="240"/>
      <c r="Z844" s="308"/>
      <c r="AA844" s="308"/>
      <c r="AB844" s="241"/>
      <c r="AC844" s="242"/>
      <c r="AD844" s="259"/>
      <c r="AE844" s="308"/>
      <c r="AF844" s="308"/>
      <c r="AG844" s="240"/>
      <c r="AH844" s="240"/>
      <c r="AI844" s="240"/>
      <c r="AJ844" s="240"/>
      <c r="AK844" s="308"/>
      <c r="AL844" s="244"/>
      <c r="AM844" s="236"/>
      <c r="AN844" s="378"/>
    </row>
    <row r="845" spans="1:40" s="506" customFormat="1" ht="19.5" customHeight="1">
      <c r="A845" s="263"/>
      <c r="B845" s="478" t="s">
        <v>723</v>
      </c>
      <c r="C845" s="502" t="s">
        <v>1267</v>
      </c>
      <c r="D845" s="502"/>
      <c r="E845" s="503">
        <v>2014</v>
      </c>
      <c r="F845" s="504">
        <v>3000</v>
      </c>
      <c r="G845" s="504">
        <v>2949.682</v>
      </c>
      <c r="H845" s="504">
        <v>1000</v>
      </c>
      <c r="I845" s="237">
        <f t="shared" si="309"/>
        <v>1000</v>
      </c>
      <c r="J845" s="237"/>
      <c r="K845" s="237">
        <v>1000</v>
      </c>
      <c r="L845" s="237"/>
      <c r="M845" s="237"/>
      <c r="N845" s="239">
        <f t="shared" si="310"/>
        <v>1000</v>
      </c>
      <c r="O845" s="239"/>
      <c r="P845" s="239">
        <f t="shared" si="311"/>
        <v>1000</v>
      </c>
      <c r="Q845" s="505">
        <v>1000</v>
      </c>
      <c r="R845" s="307"/>
      <c r="S845" s="307"/>
      <c r="T845" s="307"/>
      <c r="U845" s="306"/>
      <c r="V845" s="240"/>
      <c r="W845" s="240"/>
      <c r="X845" s="240"/>
      <c r="Y845" s="240"/>
      <c r="Z845" s="308"/>
      <c r="AA845" s="308"/>
      <c r="AB845" s="241"/>
      <c r="AC845" s="242"/>
      <c r="AD845" s="259"/>
      <c r="AE845" s="308"/>
      <c r="AF845" s="308"/>
      <c r="AG845" s="240"/>
      <c r="AH845" s="240"/>
      <c r="AI845" s="240"/>
      <c r="AJ845" s="240"/>
      <c r="AK845" s="308"/>
      <c r="AL845" s="244"/>
      <c r="AM845" s="236"/>
      <c r="AN845" s="378"/>
    </row>
    <row r="846" spans="1:40" s="506" customFormat="1" ht="19.5" customHeight="1">
      <c r="A846" s="263"/>
      <c r="B846" s="478" t="s">
        <v>724</v>
      </c>
      <c r="C846" s="502" t="s">
        <v>1267</v>
      </c>
      <c r="D846" s="502"/>
      <c r="E846" s="503">
        <v>2014</v>
      </c>
      <c r="F846" s="504">
        <v>1800</v>
      </c>
      <c r="G846" s="504">
        <v>1689.804</v>
      </c>
      <c r="H846" s="504">
        <v>1000</v>
      </c>
      <c r="I846" s="237">
        <f t="shared" si="309"/>
        <v>694</v>
      </c>
      <c r="J846" s="237"/>
      <c r="K846" s="237">
        <v>694</v>
      </c>
      <c r="L846" s="237"/>
      <c r="M846" s="237"/>
      <c r="N846" s="239">
        <f t="shared" si="310"/>
        <v>689.8</v>
      </c>
      <c r="O846" s="239"/>
      <c r="P846" s="239">
        <f t="shared" si="311"/>
        <v>689.8</v>
      </c>
      <c r="Q846" s="505">
        <v>689.8</v>
      </c>
      <c r="R846" s="307"/>
      <c r="S846" s="307"/>
      <c r="T846" s="307"/>
      <c r="U846" s="306"/>
      <c r="V846" s="240"/>
      <c r="W846" s="240"/>
      <c r="X846" s="240"/>
      <c r="Y846" s="240"/>
      <c r="Z846" s="308"/>
      <c r="AA846" s="308"/>
      <c r="AB846" s="241"/>
      <c r="AC846" s="242"/>
      <c r="AD846" s="259"/>
      <c r="AE846" s="308"/>
      <c r="AF846" s="308"/>
      <c r="AG846" s="240"/>
      <c r="AH846" s="240"/>
      <c r="AI846" s="240"/>
      <c r="AJ846" s="240"/>
      <c r="AK846" s="308"/>
      <c r="AL846" s="244"/>
      <c r="AM846" s="236"/>
      <c r="AN846" s="378"/>
    </row>
    <row r="847" spans="1:40" s="506" customFormat="1" ht="27.75" customHeight="1">
      <c r="A847" s="263"/>
      <c r="B847" s="478" t="s">
        <v>725</v>
      </c>
      <c r="C847" s="502" t="s">
        <v>1267</v>
      </c>
      <c r="D847" s="502"/>
      <c r="E847" s="503">
        <v>2014</v>
      </c>
      <c r="F847" s="504">
        <v>1800</v>
      </c>
      <c r="G847" s="504">
        <v>1794</v>
      </c>
      <c r="H847" s="504">
        <v>1000</v>
      </c>
      <c r="I847" s="237">
        <f t="shared" si="309"/>
        <v>794</v>
      </c>
      <c r="J847" s="237"/>
      <c r="K847" s="237">
        <v>794</v>
      </c>
      <c r="L847" s="237"/>
      <c r="M847" s="237"/>
      <c r="N847" s="239">
        <f t="shared" si="310"/>
        <v>785.86</v>
      </c>
      <c r="O847" s="239"/>
      <c r="P847" s="239">
        <f t="shared" si="311"/>
        <v>785.86</v>
      </c>
      <c r="Q847" s="505">
        <v>785.86</v>
      </c>
      <c r="R847" s="307"/>
      <c r="S847" s="307"/>
      <c r="T847" s="307"/>
      <c r="U847" s="306"/>
      <c r="V847" s="240"/>
      <c r="W847" s="240"/>
      <c r="X847" s="240"/>
      <c r="Y847" s="240"/>
      <c r="Z847" s="308"/>
      <c r="AA847" s="308"/>
      <c r="AB847" s="241"/>
      <c r="AC847" s="242"/>
      <c r="AD847" s="259"/>
      <c r="AE847" s="308"/>
      <c r="AF847" s="308"/>
      <c r="AG847" s="240"/>
      <c r="AH847" s="240"/>
      <c r="AI847" s="240"/>
      <c r="AJ847" s="240"/>
      <c r="AK847" s="308"/>
      <c r="AL847" s="244"/>
      <c r="AM847" s="236"/>
      <c r="AN847" s="378"/>
    </row>
    <row r="848" spans="1:40" s="506" customFormat="1" ht="20.25" customHeight="1">
      <c r="A848" s="263"/>
      <c r="B848" s="478" t="s">
        <v>726</v>
      </c>
      <c r="C848" s="502" t="s">
        <v>1267</v>
      </c>
      <c r="D848" s="502"/>
      <c r="E848" s="503">
        <v>2014</v>
      </c>
      <c r="F848" s="504">
        <v>3000</v>
      </c>
      <c r="G848" s="504">
        <v>2994.12</v>
      </c>
      <c r="H848" s="504">
        <v>824.581</v>
      </c>
      <c r="I848" s="237">
        <f t="shared" si="309"/>
        <v>1000</v>
      </c>
      <c r="J848" s="237"/>
      <c r="K848" s="237">
        <v>1000</v>
      </c>
      <c r="L848" s="237"/>
      <c r="M848" s="237"/>
      <c r="N848" s="239">
        <f t="shared" si="310"/>
        <v>1000</v>
      </c>
      <c r="O848" s="239"/>
      <c r="P848" s="239">
        <f t="shared" si="311"/>
        <v>1000</v>
      </c>
      <c r="Q848" s="505">
        <v>1000</v>
      </c>
      <c r="R848" s="307"/>
      <c r="S848" s="307"/>
      <c r="T848" s="307"/>
      <c r="U848" s="306"/>
      <c r="V848" s="240"/>
      <c r="W848" s="240"/>
      <c r="X848" s="240"/>
      <c r="Y848" s="240"/>
      <c r="Z848" s="308"/>
      <c r="AA848" s="308"/>
      <c r="AB848" s="241"/>
      <c r="AC848" s="242"/>
      <c r="AD848" s="259"/>
      <c r="AE848" s="308"/>
      <c r="AF848" s="308"/>
      <c r="AG848" s="240"/>
      <c r="AH848" s="240"/>
      <c r="AI848" s="240"/>
      <c r="AJ848" s="240"/>
      <c r="AK848" s="308"/>
      <c r="AL848" s="244"/>
      <c r="AM848" s="236"/>
      <c r="AN848" s="378"/>
    </row>
    <row r="849" spans="1:40" s="506" customFormat="1" ht="19.5" customHeight="1">
      <c r="A849" s="263"/>
      <c r="B849" s="478" t="s">
        <v>727</v>
      </c>
      <c r="C849" s="502" t="s">
        <v>1267</v>
      </c>
      <c r="D849" s="502"/>
      <c r="E849" s="503">
        <v>2014</v>
      </c>
      <c r="F849" s="504">
        <v>3000</v>
      </c>
      <c r="G849" s="504">
        <v>2995.327</v>
      </c>
      <c r="H849" s="504">
        <v>1000</v>
      </c>
      <c r="I849" s="237">
        <f t="shared" si="309"/>
        <v>1000</v>
      </c>
      <c r="J849" s="237"/>
      <c r="K849" s="237">
        <v>1000</v>
      </c>
      <c r="L849" s="237"/>
      <c r="M849" s="237"/>
      <c r="N849" s="239">
        <f t="shared" si="310"/>
        <v>1000</v>
      </c>
      <c r="O849" s="239"/>
      <c r="P849" s="239">
        <f t="shared" si="311"/>
        <v>1000</v>
      </c>
      <c r="Q849" s="505">
        <v>1000</v>
      </c>
      <c r="R849" s="307"/>
      <c r="S849" s="307"/>
      <c r="T849" s="307"/>
      <c r="U849" s="306"/>
      <c r="V849" s="240"/>
      <c r="W849" s="240"/>
      <c r="X849" s="240"/>
      <c r="Y849" s="240"/>
      <c r="Z849" s="308"/>
      <c r="AA849" s="308"/>
      <c r="AB849" s="241"/>
      <c r="AC849" s="242"/>
      <c r="AD849" s="259"/>
      <c r="AE849" s="308"/>
      <c r="AF849" s="308"/>
      <c r="AG849" s="240"/>
      <c r="AH849" s="240"/>
      <c r="AI849" s="240"/>
      <c r="AJ849" s="240"/>
      <c r="AK849" s="308"/>
      <c r="AL849" s="244"/>
      <c r="AM849" s="236"/>
      <c r="AN849" s="378"/>
    </row>
    <row r="850" spans="1:40" s="506" customFormat="1" ht="19.5" customHeight="1">
      <c r="A850" s="263"/>
      <c r="B850" s="478" t="s">
        <v>728</v>
      </c>
      <c r="C850" s="502" t="s">
        <v>1267</v>
      </c>
      <c r="D850" s="502"/>
      <c r="E850" s="503">
        <v>2014</v>
      </c>
      <c r="F850" s="504">
        <v>1900</v>
      </c>
      <c r="G850" s="504">
        <v>1893</v>
      </c>
      <c r="H850" s="504">
        <v>900</v>
      </c>
      <c r="I850" s="237">
        <f t="shared" si="309"/>
        <v>993</v>
      </c>
      <c r="J850" s="237"/>
      <c r="K850" s="237">
        <v>993</v>
      </c>
      <c r="L850" s="237"/>
      <c r="M850" s="237"/>
      <c r="N850" s="239">
        <f t="shared" si="310"/>
        <v>988.31</v>
      </c>
      <c r="O850" s="239"/>
      <c r="P850" s="239">
        <f t="shared" si="311"/>
        <v>988.31</v>
      </c>
      <c r="Q850" s="505">
        <v>988.31</v>
      </c>
      <c r="R850" s="307"/>
      <c r="S850" s="307"/>
      <c r="T850" s="307"/>
      <c r="U850" s="306"/>
      <c r="V850" s="240"/>
      <c r="W850" s="240"/>
      <c r="X850" s="240"/>
      <c r="Y850" s="240"/>
      <c r="Z850" s="308"/>
      <c r="AA850" s="308"/>
      <c r="AB850" s="241"/>
      <c r="AC850" s="242"/>
      <c r="AD850" s="259"/>
      <c r="AE850" s="308"/>
      <c r="AF850" s="308"/>
      <c r="AG850" s="240"/>
      <c r="AH850" s="240"/>
      <c r="AI850" s="240"/>
      <c r="AJ850" s="240"/>
      <c r="AK850" s="308"/>
      <c r="AL850" s="244"/>
      <c r="AM850" s="236"/>
      <c r="AN850" s="378"/>
    </row>
    <row r="851" spans="1:40" s="506" customFormat="1" ht="19.5" customHeight="1">
      <c r="A851" s="263"/>
      <c r="B851" s="478" t="s">
        <v>729</v>
      </c>
      <c r="C851" s="502" t="s">
        <v>1267</v>
      </c>
      <c r="D851" s="502"/>
      <c r="E851" s="503">
        <v>2015</v>
      </c>
      <c r="F851" s="504">
        <v>1647.319</v>
      </c>
      <c r="G851" s="504">
        <v>1483.86</v>
      </c>
      <c r="H851" s="504">
        <f aca="true" t="shared" si="312" ref="H851:H856">SUM(P851)</f>
        <v>500</v>
      </c>
      <c r="I851" s="237">
        <f t="shared" si="309"/>
        <v>500</v>
      </c>
      <c r="J851" s="237"/>
      <c r="K851" s="237">
        <v>500</v>
      </c>
      <c r="L851" s="237"/>
      <c r="M851" s="237"/>
      <c r="N851" s="239">
        <f t="shared" si="310"/>
        <v>500</v>
      </c>
      <c r="O851" s="239"/>
      <c r="P851" s="239">
        <f t="shared" si="311"/>
        <v>500</v>
      </c>
      <c r="Q851" s="505">
        <v>500</v>
      </c>
      <c r="R851" s="307"/>
      <c r="S851" s="307"/>
      <c r="T851" s="307"/>
      <c r="U851" s="306"/>
      <c r="V851" s="240"/>
      <c r="W851" s="240"/>
      <c r="X851" s="240"/>
      <c r="Y851" s="240"/>
      <c r="Z851" s="308"/>
      <c r="AA851" s="308"/>
      <c r="AB851" s="241"/>
      <c r="AC851" s="242"/>
      <c r="AD851" s="259"/>
      <c r="AE851" s="308"/>
      <c r="AF851" s="308"/>
      <c r="AG851" s="240"/>
      <c r="AH851" s="240"/>
      <c r="AI851" s="240"/>
      <c r="AJ851" s="240"/>
      <c r="AK851" s="308"/>
      <c r="AL851" s="244"/>
      <c r="AM851" s="236"/>
      <c r="AN851" s="378"/>
    </row>
    <row r="852" spans="1:40" s="506" customFormat="1" ht="19.5" customHeight="1">
      <c r="A852" s="263"/>
      <c r="B852" s="478" t="s">
        <v>730</v>
      </c>
      <c r="C852" s="502" t="s">
        <v>1267</v>
      </c>
      <c r="D852" s="502"/>
      <c r="E852" s="503">
        <v>2015</v>
      </c>
      <c r="F852" s="504">
        <v>1500</v>
      </c>
      <c r="G852" s="504">
        <v>1391.377</v>
      </c>
      <c r="H852" s="504">
        <f t="shared" si="312"/>
        <v>400</v>
      </c>
      <c r="I852" s="237">
        <f t="shared" si="309"/>
        <v>400</v>
      </c>
      <c r="J852" s="237"/>
      <c r="K852" s="237">
        <v>400</v>
      </c>
      <c r="L852" s="237"/>
      <c r="M852" s="237"/>
      <c r="N852" s="239">
        <f t="shared" si="310"/>
        <v>400</v>
      </c>
      <c r="O852" s="239"/>
      <c r="P852" s="239">
        <f t="shared" si="311"/>
        <v>400</v>
      </c>
      <c r="Q852" s="505">
        <v>400</v>
      </c>
      <c r="R852" s="307"/>
      <c r="S852" s="307"/>
      <c r="T852" s="307"/>
      <c r="U852" s="306"/>
      <c r="V852" s="240"/>
      <c r="W852" s="240"/>
      <c r="X852" s="240"/>
      <c r="Y852" s="240"/>
      <c r="Z852" s="308"/>
      <c r="AA852" s="308"/>
      <c r="AB852" s="241"/>
      <c r="AC852" s="242"/>
      <c r="AD852" s="259"/>
      <c r="AE852" s="308"/>
      <c r="AF852" s="308"/>
      <c r="AG852" s="240"/>
      <c r="AH852" s="240"/>
      <c r="AI852" s="240"/>
      <c r="AJ852" s="240"/>
      <c r="AK852" s="308"/>
      <c r="AL852" s="244"/>
      <c r="AM852" s="236"/>
      <c r="AN852" s="378"/>
    </row>
    <row r="853" spans="1:40" s="506" customFormat="1" ht="19.5" customHeight="1">
      <c r="A853" s="263"/>
      <c r="B853" s="478" t="s">
        <v>731</v>
      </c>
      <c r="C853" s="502" t="s">
        <v>1267</v>
      </c>
      <c r="D853" s="502"/>
      <c r="E853" s="503">
        <v>2015</v>
      </c>
      <c r="F853" s="504">
        <v>1500</v>
      </c>
      <c r="G853" s="504">
        <v>1497.185</v>
      </c>
      <c r="H853" s="504">
        <f t="shared" si="312"/>
        <v>400</v>
      </c>
      <c r="I853" s="237">
        <f t="shared" si="309"/>
        <v>400</v>
      </c>
      <c r="J853" s="237"/>
      <c r="K853" s="237">
        <v>400</v>
      </c>
      <c r="L853" s="237"/>
      <c r="M853" s="237"/>
      <c r="N853" s="239">
        <f t="shared" si="310"/>
        <v>400</v>
      </c>
      <c r="O853" s="239"/>
      <c r="P853" s="239">
        <f t="shared" si="311"/>
        <v>400</v>
      </c>
      <c r="Q853" s="505">
        <v>400</v>
      </c>
      <c r="R853" s="307"/>
      <c r="S853" s="307"/>
      <c r="T853" s="307"/>
      <c r="U853" s="306"/>
      <c r="V853" s="240"/>
      <c r="W853" s="240"/>
      <c r="X853" s="240"/>
      <c r="Y853" s="240"/>
      <c r="Z853" s="308"/>
      <c r="AA853" s="308"/>
      <c r="AB853" s="241"/>
      <c r="AC853" s="242"/>
      <c r="AD853" s="259"/>
      <c r="AE853" s="308"/>
      <c r="AF853" s="308"/>
      <c r="AG853" s="240"/>
      <c r="AH853" s="240"/>
      <c r="AI853" s="240"/>
      <c r="AJ853" s="240"/>
      <c r="AK853" s="308"/>
      <c r="AL853" s="244"/>
      <c r="AM853" s="236"/>
      <c r="AN853" s="378"/>
    </row>
    <row r="854" spans="1:40" s="506" customFormat="1" ht="19.5" customHeight="1">
      <c r="A854" s="263"/>
      <c r="B854" s="478" t="s">
        <v>732</v>
      </c>
      <c r="C854" s="502" t="s">
        <v>1267</v>
      </c>
      <c r="D854" s="502"/>
      <c r="E854" s="503">
        <v>2015</v>
      </c>
      <c r="F854" s="504">
        <v>1700</v>
      </c>
      <c r="G854" s="504">
        <v>1526.447</v>
      </c>
      <c r="H854" s="504">
        <f t="shared" si="312"/>
        <v>400</v>
      </c>
      <c r="I854" s="237">
        <f t="shared" si="309"/>
        <v>400</v>
      </c>
      <c r="J854" s="237"/>
      <c r="K854" s="237">
        <v>400</v>
      </c>
      <c r="L854" s="237"/>
      <c r="M854" s="237"/>
      <c r="N854" s="239">
        <f t="shared" si="310"/>
        <v>400</v>
      </c>
      <c r="O854" s="239"/>
      <c r="P854" s="239">
        <f t="shared" si="311"/>
        <v>400</v>
      </c>
      <c r="Q854" s="505">
        <v>400</v>
      </c>
      <c r="R854" s="307"/>
      <c r="S854" s="307"/>
      <c r="T854" s="307"/>
      <c r="U854" s="306"/>
      <c r="V854" s="240"/>
      <c r="W854" s="240"/>
      <c r="X854" s="240"/>
      <c r="Y854" s="240"/>
      <c r="Z854" s="308"/>
      <c r="AA854" s="308"/>
      <c r="AB854" s="241"/>
      <c r="AC854" s="242"/>
      <c r="AD854" s="259"/>
      <c r="AE854" s="308"/>
      <c r="AF854" s="308"/>
      <c r="AG854" s="240"/>
      <c r="AH854" s="240"/>
      <c r="AI854" s="240"/>
      <c r="AJ854" s="240"/>
      <c r="AK854" s="308"/>
      <c r="AL854" s="244"/>
      <c r="AM854" s="236"/>
      <c r="AN854" s="378"/>
    </row>
    <row r="855" spans="1:40" s="506" customFormat="1" ht="19.5" customHeight="1">
      <c r="A855" s="263"/>
      <c r="B855" s="478" t="s">
        <v>733</v>
      </c>
      <c r="C855" s="502" t="s">
        <v>1267</v>
      </c>
      <c r="D855" s="502"/>
      <c r="E855" s="503">
        <v>2015</v>
      </c>
      <c r="F855" s="504">
        <v>1309.727</v>
      </c>
      <c r="G855" s="504">
        <v>1191.292</v>
      </c>
      <c r="H855" s="504">
        <f t="shared" si="312"/>
        <v>400</v>
      </c>
      <c r="I855" s="237">
        <f t="shared" si="309"/>
        <v>400</v>
      </c>
      <c r="J855" s="237"/>
      <c r="K855" s="237">
        <v>400</v>
      </c>
      <c r="L855" s="237"/>
      <c r="M855" s="237"/>
      <c r="N855" s="239">
        <f t="shared" si="310"/>
        <v>400</v>
      </c>
      <c r="O855" s="239"/>
      <c r="P855" s="239">
        <f t="shared" si="311"/>
        <v>400</v>
      </c>
      <c r="Q855" s="505">
        <v>400</v>
      </c>
      <c r="R855" s="307"/>
      <c r="S855" s="307"/>
      <c r="T855" s="307"/>
      <c r="U855" s="306"/>
      <c r="V855" s="240"/>
      <c r="W855" s="240"/>
      <c r="X855" s="240"/>
      <c r="Y855" s="240"/>
      <c r="Z855" s="308"/>
      <c r="AA855" s="308"/>
      <c r="AB855" s="241"/>
      <c r="AC855" s="242"/>
      <c r="AD855" s="259"/>
      <c r="AE855" s="308"/>
      <c r="AF855" s="308"/>
      <c r="AG855" s="240"/>
      <c r="AH855" s="240"/>
      <c r="AI855" s="240"/>
      <c r="AJ855" s="240"/>
      <c r="AK855" s="308"/>
      <c r="AL855" s="244"/>
      <c r="AM855" s="236"/>
      <c r="AN855" s="378"/>
    </row>
    <row r="856" spans="1:40" s="506" customFormat="1" ht="19.5" customHeight="1">
      <c r="A856" s="263"/>
      <c r="B856" s="478" t="s">
        <v>734</v>
      </c>
      <c r="C856" s="502" t="s">
        <v>1267</v>
      </c>
      <c r="D856" s="502"/>
      <c r="E856" s="503">
        <v>2015</v>
      </c>
      <c r="F856" s="504">
        <v>1500</v>
      </c>
      <c r="G856" s="504">
        <v>1499.587</v>
      </c>
      <c r="H856" s="504">
        <f t="shared" si="312"/>
        <v>400</v>
      </c>
      <c r="I856" s="237">
        <f t="shared" si="309"/>
        <v>400</v>
      </c>
      <c r="J856" s="237"/>
      <c r="K856" s="237">
        <v>400</v>
      </c>
      <c r="L856" s="237"/>
      <c r="M856" s="237"/>
      <c r="N856" s="239">
        <f t="shared" si="310"/>
        <v>400</v>
      </c>
      <c r="O856" s="239"/>
      <c r="P856" s="239">
        <f t="shared" si="311"/>
        <v>400</v>
      </c>
      <c r="Q856" s="505">
        <v>400</v>
      </c>
      <c r="R856" s="307"/>
      <c r="S856" s="307"/>
      <c r="T856" s="307"/>
      <c r="U856" s="306"/>
      <c r="V856" s="240"/>
      <c r="W856" s="240"/>
      <c r="X856" s="240"/>
      <c r="Y856" s="240"/>
      <c r="Z856" s="308"/>
      <c r="AA856" s="308"/>
      <c r="AB856" s="241"/>
      <c r="AC856" s="242"/>
      <c r="AD856" s="259"/>
      <c r="AE856" s="308"/>
      <c r="AF856" s="308"/>
      <c r="AG856" s="240"/>
      <c r="AH856" s="240"/>
      <c r="AI856" s="240"/>
      <c r="AJ856" s="240"/>
      <c r="AK856" s="308"/>
      <c r="AL856" s="244"/>
      <c r="AM856" s="236"/>
      <c r="AN856" s="378"/>
    </row>
    <row r="857" spans="1:40" s="506" customFormat="1" ht="19.5" customHeight="1">
      <c r="A857" s="275" t="s">
        <v>1253</v>
      </c>
      <c r="B857" s="287" t="s">
        <v>735</v>
      </c>
      <c r="C857" s="218"/>
      <c r="D857" s="456"/>
      <c r="E857" s="219"/>
      <c r="F857" s="221"/>
      <c r="G857" s="221"/>
      <c r="H857" s="221"/>
      <c r="I857" s="222">
        <f>SUM(I858:I869)</f>
        <v>20161.716</v>
      </c>
      <c r="J857" s="222">
        <f aca="true" t="shared" si="313" ref="J857:U857">SUM(J858:J869)</f>
        <v>2161.716</v>
      </c>
      <c r="K857" s="222">
        <f t="shared" si="313"/>
        <v>0</v>
      </c>
      <c r="L857" s="222">
        <f t="shared" si="313"/>
        <v>0</v>
      </c>
      <c r="M857" s="222">
        <f t="shared" si="313"/>
        <v>20161.716</v>
      </c>
      <c r="N857" s="222">
        <f t="shared" si="313"/>
        <v>19867.939</v>
      </c>
      <c r="O857" s="222">
        <f t="shared" si="313"/>
        <v>96.15899999999999</v>
      </c>
      <c r="P857" s="222">
        <f t="shared" si="313"/>
        <v>0</v>
      </c>
      <c r="Q857" s="222">
        <f t="shared" si="313"/>
        <v>0</v>
      </c>
      <c r="R857" s="222">
        <f t="shared" si="313"/>
        <v>0</v>
      </c>
      <c r="S857" s="222">
        <f t="shared" si="313"/>
        <v>0</v>
      </c>
      <c r="T857" s="222">
        <f t="shared" si="313"/>
        <v>0</v>
      </c>
      <c r="U857" s="222">
        <f t="shared" si="313"/>
        <v>19867.939</v>
      </c>
      <c r="V857" s="240"/>
      <c r="W857" s="240"/>
      <c r="X857" s="240"/>
      <c r="Y857" s="240"/>
      <c r="Z857" s="308"/>
      <c r="AA857" s="308"/>
      <c r="AB857" s="241"/>
      <c r="AC857" s="242"/>
      <c r="AD857" s="259"/>
      <c r="AE857" s="308"/>
      <c r="AF857" s="308"/>
      <c r="AG857" s="240"/>
      <c r="AH857" s="240"/>
      <c r="AI857" s="240"/>
      <c r="AJ857" s="240"/>
      <c r="AK857" s="308"/>
      <c r="AL857" s="244"/>
      <c r="AM857" s="236"/>
      <c r="AN857" s="378"/>
    </row>
    <row r="858" spans="1:40" s="506" customFormat="1" ht="19.5" customHeight="1">
      <c r="A858" s="263"/>
      <c r="B858" s="478" t="s">
        <v>736</v>
      </c>
      <c r="C858" s="502" t="s">
        <v>1283</v>
      </c>
      <c r="D858" s="502"/>
      <c r="E858" s="503"/>
      <c r="F858" s="504"/>
      <c r="G858" s="504"/>
      <c r="H858" s="504"/>
      <c r="I858" s="237">
        <v>2000</v>
      </c>
      <c r="J858" s="237"/>
      <c r="K858" s="237"/>
      <c r="L858" s="237"/>
      <c r="M858" s="237">
        <v>2000</v>
      </c>
      <c r="N858" s="239">
        <v>1995.349</v>
      </c>
      <c r="O858" s="239"/>
      <c r="P858" s="239"/>
      <c r="Q858" s="505"/>
      <c r="R858" s="307"/>
      <c r="S858" s="307"/>
      <c r="T858" s="307"/>
      <c r="U858" s="507">
        <v>1995.349</v>
      </c>
      <c r="V858" s="240"/>
      <c r="W858" s="240"/>
      <c r="X858" s="240"/>
      <c r="Y858" s="240"/>
      <c r="Z858" s="308"/>
      <c r="AA858" s="308"/>
      <c r="AB858" s="241"/>
      <c r="AC858" s="242"/>
      <c r="AD858" s="259"/>
      <c r="AE858" s="308"/>
      <c r="AF858" s="308"/>
      <c r="AG858" s="240"/>
      <c r="AH858" s="240"/>
      <c r="AI858" s="240"/>
      <c r="AJ858" s="240"/>
      <c r="AK858" s="308"/>
      <c r="AL858" s="244"/>
      <c r="AM858" s="236"/>
      <c r="AN858" s="378"/>
    </row>
    <row r="859" spans="1:40" s="506" customFormat="1" ht="19.5" customHeight="1">
      <c r="A859" s="263"/>
      <c r="B859" s="478" t="s">
        <v>737</v>
      </c>
      <c r="C859" s="502" t="s">
        <v>1267</v>
      </c>
      <c r="D859" s="502"/>
      <c r="E859" s="503"/>
      <c r="F859" s="504"/>
      <c r="G859" s="504"/>
      <c r="H859" s="504"/>
      <c r="I859" s="237">
        <v>2000</v>
      </c>
      <c r="J859" s="237"/>
      <c r="K859" s="237"/>
      <c r="L859" s="237"/>
      <c r="M859" s="237">
        <v>2000</v>
      </c>
      <c r="N859" s="239">
        <v>1980.244</v>
      </c>
      <c r="O859" s="239"/>
      <c r="P859" s="239"/>
      <c r="Q859" s="505"/>
      <c r="R859" s="307"/>
      <c r="S859" s="307"/>
      <c r="T859" s="307"/>
      <c r="U859" s="507">
        <v>1980.244</v>
      </c>
      <c r="V859" s="240"/>
      <c r="W859" s="240"/>
      <c r="X859" s="240"/>
      <c r="Y859" s="240"/>
      <c r="Z859" s="308"/>
      <c r="AA859" s="308"/>
      <c r="AB859" s="241"/>
      <c r="AC859" s="242"/>
      <c r="AD859" s="259"/>
      <c r="AE859" s="308"/>
      <c r="AF859" s="308"/>
      <c r="AG859" s="240"/>
      <c r="AH859" s="240"/>
      <c r="AI859" s="240"/>
      <c r="AJ859" s="240"/>
      <c r="AK859" s="308"/>
      <c r="AL859" s="244"/>
      <c r="AM859" s="236"/>
      <c r="AN859" s="378"/>
    </row>
    <row r="860" spans="1:40" s="506" customFormat="1" ht="19.5" customHeight="1">
      <c r="A860" s="263"/>
      <c r="B860" s="478" t="s">
        <v>738</v>
      </c>
      <c r="C860" s="502" t="s">
        <v>1267</v>
      </c>
      <c r="D860" s="502"/>
      <c r="E860" s="503"/>
      <c r="F860" s="504"/>
      <c r="G860" s="504"/>
      <c r="H860" s="504"/>
      <c r="I860" s="237">
        <v>2000</v>
      </c>
      <c r="J860" s="237"/>
      <c r="K860" s="237"/>
      <c r="L860" s="237"/>
      <c r="M860" s="237">
        <v>2000</v>
      </c>
      <c r="N860" s="239">
        <v>1971.657</v>
      </c>
      <c r="O860" s="239"/>
      <c r="P860" s="239"/>
      <c r="Q860" s="505"/>
      <c r="R860" s="307"/>
      <c r="S860" s="307"/>
      <c r="T860" s="307"/>
      <c r="U860" s="507">
        <v>1971.657</v>
      </c>
      <c r="V860" s="240"/>
      <c r="W860" s="240"/>
      <c r="X860" s="240"/>
      <c r="Y860" s="240"/>
      <c r="Z860" s="308"/>
      <c r="AA860" s="308"/>
      <c r="AB860" s="241"/>
      <c r="AC860" s="242"/>
      <c r="AD860" s="259"/>
      <c r="AE860" s="308"/>
      <c r="AF860" s="308"/>
      <c r="AG860" s="240"/>
      <c r="AH860" s="240"/>
      <c r="AI860" s="240"/>
      <c r="AJ860" s="240"/>
      <c r="AK860" s="308"/>
      <c r="AL860" s="244"/>
      <c r="AM860" s="236"/>
      <c r="AN860" s="378"/>
    </row>
    <row r="861" spans="1:40" s="506" customFormat="1" ht="19.5" customHeight="1">
      <c r="A861" s="263"/>
      <c r="B861" s="478" t="s">
        <v>739</v>
      </c>
      <c r="C861" s="502" t="s">
        <v>1397</v>
      </c>
      <c r="D861" s="502" t="s">
        <v>327</v>
      </c>
      <c r="E861" s="503"/>
      <c r="F861" s="504">
        <v>2000</v>
      </c>
      <c r="G861" s="504">
        <v>1960.669</v>
      </c>
      <c r="H861" s="504">
        <v>1960.669</v>
      </c>
      <c r="I861" s="237">
        <v>2000</v>
      </c>
      <c r="J861" s="237"/>
      <c r="K861" s="237"/>
      <c r="L861" s="237"/>
      <c r="M861" s="237">
        <v>2000</v>
      </c>
      <c r="N861" s="239">
        <v>1960.669</v>
      </c>
      <c r="O861" s="239"/>
      <c r="P861" s="239"/>
      <c r="Q861" s="505"/>
      <c r="R861" s="307"/>
      <c r="S861" s="307"/>
      <c r="T861" s="307"/>
      <c r="U861" s="507">
        <v>1960.669</v>
      </c>
      <c r="V861" s="240"/>
      <c r="W861" s="240"/>
      <c r="X861" s="240"/>
      <c r="Y861" s="240"/>
      <c r="Z861" s="308"/>
      <c r="AA861" s="308"/>
      <c r="AB861" s="241"/>
      <c r="AC861" s="242"/>
      <c r="AD861" s="259"/>
      <c r="AE861" s="308"/>
      <c r="AF861" s="308"/>
      <c r="AG861" s="240"/>
      <c r="AH861" s="240"/>
      <c r="AI861" s="240"/>
      <c r="AJ861" s="240"/>
      <c r="AK861" s="308"/>
      <c r="AL861" s="244"/>
      <c r="AM861" s="236"/>
      <c r="AN861" s="378"/>
    </row>
    <row r="862" spans="1:40" s="506" customFormat="1" ht="19.5" customHeight="1">
      <c r="A862" s="263"/>
      <c r="B862" s="478" t="s">
        <v>740</v>
      </c>
      <c r="C862" s="502" t="s">
        <v>1353</v>
      </c>
      <c r="D862" s="502" t="s">
        <v>335</v>
      </c>
      <c r="E862" s="503"/>
      <c r="F862" s="504">
        <v>2000</v>
      </c>
      <c r="G862" s="504">
        <v>1995.334</v>
      </c>
      <c r="H862" s="504">
        <v>0</v>
      </c>
      <c r="I862" s="237">
        <v>2000</v>
      </c>
      <c r="J862" s="237"/>
      <c r="K862" s="237"/>
      <c r="L862" s="237"/>
      <c r="M862" s="237">
        <v>2000</v>
      </c>
      <c r="N862" s="239">
        <v>1995.334</v>
      </c>
      <c r="O862" s="239"/>
      <c r="P862" s="239"/>
      <c r="Q862" s="505"/>
      <c r="R862" s="307"/>
      <c r="S862" s="307"/>
      <c r="T862" s="307"/>
      <c r="U862" s="554">
        <v>1995.334</v>
      </c>
      <c r="V862" s="240"/>
      <c r="W862" s="240"/>
      <c r="X862" s="240"/>
      <c r="Y862" s="240"/>
      <c r="Z862" s="308"/>
      <c r="AA862" s="308"/>
      <c r="AB862" s="241"/>
      <c r="AC862" s="242"/>
      <c r="AD862" s="259"/>
      <c r="AE862" s="308"/>
      <c r="AF862" s="308"/>
      <c r="AG862" s="240"/>
      <c r="AH862" s="240"/>
      <c r="AI862" s="240"/>
      <c r="AJ862" s="240"/>
      <c r="AK862" s="308"/>
      <c r="AL862" s="244"/>
      <c r="AM862" s="236"/>
      <c r="AN862" s="378"/>
    </row>
    <row r="863" spans="1:40" s="506" customFormat="1" ht="19.5" customHeight="1">
      <c r="A863" s="263"/>
      <c r="B863" s="478" t="s">
        <v>741</v>
      </c>
      <c r="C863" s="502" t="s">
        <v>1267</v>
      </c>
      <c r="D863" s="502" t="s">
        <v>335</v>
      </c>
      <c r="E863" s="503"/>
      <c r="F863" s="504">
        <v>2000</v>
      </c>
      <c r="G863" s="504">
        <v>1996.126</v>
      </c>
      <c r="H863" s="504">
        <v>0</v>
      </c>
      <c r="I863" s="237">
        <v>2000</v>
      </c>
      <c r="J863" s="237"/>
      <c r="K863" s="237"/>
      <c r="L863" s="237"/>
      <c r="M863" s="237">
        <v>2000</v>
      </c>
      <c r="N863" s="239">
        <v>1996.126</v>
      </c>
      <c r="O863" s="239"/>
      <c r="P863" s="239"/>
      <c r="Q863" s="505"/>
      <c r="R863" s="307"/>
      <c r="S863" s="307"/>
      <c r="T863" s="307"/>
      <c r="U863" s="554">
        <v>1996.126</v>
      </c>
      <c r="V863" s="240"/>
      <c r="W863" s="240"/>
      <c r="X863" s="240"/>
      <c r="Y863" s="240"/>
      <c r="Z863" s="308"/>
      <c r="AA863" s="308"/>
      <c r="AB863" s="241"/>
      <c r="AC863" s="242"/>
      <c r="AD863" s="259"/>
      <c r="AE863" s="308"/>
      <c r="AF863" s="308"/>
      <c r="AG863" s="240"/>
      <c r="AH863" s="240"/>
      <c r="AI863" s="240"/>
      <c r="AJ863" s="240"/>
      <c r="AK863" s="308"/>
      <c r="AL863" s="244"/>
      <c r="AM863" s="236"/>
      <c r="AN863" s="378"/>
    </row>
    <row r="864" spans="1:40" s="506" customFormat="1" ht="19.5" customHeight="1">
      <c r="A864" s="263"/>
      <c r="B864" s="478" t="s">
        <v>742</v>
      </c>
      <c r="C864" s="502" t="s">
        <v>1608</v>
      </c>
      <c r="D864" s="503" t="s">
        <v>335</v>
      </c>
      <c r="E864" s="503" t="s">
        <v>335</v>
      </c>
      <c r="F864" s="504">
        <v>2000</v>
      </c>
      <c r="G864" s="504">
        <v>1983.692</v>
      </c>
      <c r="H864" s="504">
        <v>1983.692</v>
      </c>
      <c r="I864" s="237">
        <v>2000</v>
      </c>
      <c r="J864" s="237"/>
      <c r="K864" s="237"/>
      <c r="L864" s="237"/>
      <c r="M864" s="237">
        <v>2000</v>
      </c>
      <c r="N864" s="239">
        <v>1983.692</v>
      </c>
      <c r="O864" s="239"/>
      <c r="P864" s="239"/>
      <c r="Q864" s="505"/>
      <c r="R864" s="307"/>
      <c r="S864" s="307"/>
      <c r="T864" s="307"/>
      <c r="U864" s="507">
        <v>1983.692</v>
      </c>
      <c r="V864" s="240"/>
      <c r="W864" s="240"/>
      <c r="X864" s="240"/>
      <c r="Y864" s="240"/>
      <c r="Z864" s="308"/>
      <c r="AA864" s="308"/>
      <c r="AB864" s="241"/>
      <c r="AC864" s="242"/>
      <c r="AD864" s="259"/>
      <c r="AE864" s="308"/>
      <c r="AF864" s="308"/>
      <c r="AG864" s="240"/>
      <c r="AH864" s="240"/>
      <c r="AI864" s="240"/>
      <c r="AJ864" s="240"/>
      <c r="AK864" s="308"/>
      <c r="AL864" s="244"/>
      <c r="AM864" s="236"/>
      <c r="AN864" s="378"/>
    </row>
    <row r="865" spans="1:40" s="506" customFormat="1" ht="19.5" customHeight="1">
      <c r="A865" s="263"/>
      <c r="B865" s="478" t="s">
        <v>743</v>
      </c>
      <c r="C865" s="502" t="s">
        <v>1267</v>
      </c>
      <c r="D865" s="503" t="s">
        <v>335</v>
      </c>
      <c r="E865" s="503" t="s">
        <v>335</v>
      </c>
      <c r="F865" s="504">
        <v>2000</v>
      </c>
      <c r="G865" s="504">
        <v>1974.733</v>
      </c>
      <c r="H865" s="504">
        <v>1974.733</v>
      </c>
      <c r="I865" s="237">
        <v>2000</v>
      </c>
      <c r="J865" s="237"/>
      <c r="K865" s="237"/>
      <c r="L865" s="237"/>
      <c r="M865" s="237">
        <v>2000</v>
      </c>
      <c r="N865" s="239">
        <v>1974.733</v>
      </c>
      <c r="O865" s="239"/>
      <c r="P865" s="239"/>
      <c r="Q865" s="505"/>
      <c r="R865" s="307"/>
      <c r="S865" s="307"/>
      <c r="T865" s="307"/>
      <c r="U865" s="507">
        <v>1974.733</v>
      </c>
      <c r="V865" s="240"/>
      <c r="W865" s="240"/>
      <c r="X865" s="240"/>
      <c r="Y865" s="240"/>
      <c r="Z865" s="308"/>
      <c r="AA865" s="308"/>
      <c r="AB865" s="241"/>
      <c r="AC865" s="242"/>
      <c r="AD865" s="259"/>
      <c r="AE865" s="308"/>
      <c r="AF865" s="308"/>
      <c r="AG865" s="240"/>
      <c r="AH865" s="240"/>
      <c r="AI865" s="240"/>
      <c r="AJ865" s="240"/>
      <c r="AK865" s="308"/>
      <c r="AL865" s="244"/>
      <c r="AM865" s="236"/>
      <c r="AN865" s="378"/>
    </row>
    <row r="866" spans="1:40" s="506" customFormat="1" ht="19.5" customHeight="1">
      <c r="A866" s="263"/>
      <c r="B866" s="478" t="s">
        <v>744</v>
      </c>
      <c r="C866" s="502" t="s">
        <v>745</v>
      </c>
      <c r="D866" s="502"/>
      <c r="E866" s="503"/>
      <c r="F866" s="504">
        <v>2000</v>
      </c>
      <c r="G866" s="504"/>
      <c r="H866" s="504"/>
      <c r="I866" s="237">
        <v>2000</v>
      </c>
      <c r="J866" s="237"/>
      <c r="K866" s="237"/>
      <c r="L866" s="237"/>
      <c r="M866" s="237">
        <v>2000</v>
      </c>
      <c r="N866" s="239">
        <v>1929.724</v>
      </c>
      <c r="O866" s="239"/>
      <c r="P866" s="239"/>
      <c r="Q866" s="505"/>
      <c r="R866" s="307"/>
      <c r="S866" s="307"/>
      <c r="T866" s="307"/>
      <c r="U866" s="507">
        <v>1929.724</v>
      </c>
      <c r="V866" s="240"/>
      <c r="W866" s="240"/>
      <c r="X866" s="240"/>
      <c r="Y866" s="240"/>
      <c r="Z866" s="308"/>
      <c r="AA866" s="308"/>
      <c r="AB866" s="241"/>
      <c r="AC866" s="242"/>
      <c r="AD866" s="259"/>
      <c r="AE866" s="308"/>
      <c r="AF866" s="308"/>
      <c r="AG866" s="240"/>
      <c r="AH866" s="240"/>
      <c r="AI866" s="240"/>
      <c r="AJ866" s="240"/>
      <c r="AK866" s="308"/>
      <c r="AL866" s="244"/>
      <c r="AM866" s="236"/>
      <c r="AN866" s="378"/>
    </row>
    <row r="867" spans="1:40" s="506" customFormat="1" ht="19.5" customHeight="1">
      <c r="A867" s="263"/>
      <c r="B867" s="478" t="s">
        <v>746</v>
      </c>
      <c r="C867" s="502" t="s">
        <v>1355</v>
      </c>
      <c r="D867" s="502"/>
      <c r="E867" s="503"/>
      <c r="F867" s="504"/>
      <c r="G867" s="504"/>
      <c r="H867" s="504"/>
      <c r="I867" s="237">
        <v>96.941</v>
      </c>
      <c r="J867" s="237">
        <v>96.941</v>
      </c>
      <c r="K867" s="237"/>
      <c r="L867" s="237"/>
      <c r="M867" s="237">
        <v>96.941</v>
      </c>
      <c r="N867" s="239">
        <v>47.89</v>
      </c>
      <c r="O867" s="239">
        <v>47.89</v>
      </c>
      <c r="P867" s="239"/>
      <c r="Q867" s="505"/>
      <c r="R867" s="307"/>
      <c r="S867" s="307"/>
      <c r="T867" s="307"/>
      <c r="U867" s="507">
        <v>47.89</v>
      </c>
      <c r="V867" s="240"/>
      <c r="W867" s="240"/>
      <c r="X867" s="240"/>
      <c r="Y867" s="240"/>
      <c r="Z867" s="308"/>
      <c r="AA867" s="308"/>
      <c r="AB867" s="241"/>
      <c r="AC867" s="242"/>
      <c r="AD867" s="259"/>
      <c r="AE867" s="308"/>
      <c r="AF867" s="308"/>
      <c r="AG867" s="240"/>
      <c r="AH867" s="240"/>
      <c r="AI867" s="240"/>
      <c r="AJ867" s="240"/>
      <c r="AK867" s="308"/>
      <c r="AL867" s="244"/>
      <c r="AM867" s="236"/>
      <c r="AN867" s="378"/>
    </row>
    <row r="868" spans="1:40" s="506" customFormat="1" ht="19.5" customHeight="1">
      <c r="A868" s="263"/>
      <c r="B868" s="478" t="s">
        <v>747</v>
      </c>
      <c r="C868" s="502" t="s">
        <v>1267</v>
      </c>
      <c r="D868" s="502"/>
      <c r="E868" s="503"/>
      <c r="F868" s="504"/>
      <c r="G868" s="504"/>
      <c r="H868" s="504"/>
      <c r="I868" s="237">
        <v>64.775</v>
      </c>
      <c r="J868" s="237">
        <v>64.775</v>
      </c>
      <c r="K868" s="237"/>
      <c r="L868" s="237"/>
      <c r="M868" s="237">
        <v>64.775</v>
      </c>
      <c r="N868" s="239">
        <v>48.269</v>
      </c>
      <c r="O868" s="239">
        <v>48.269</v>
      </c>
      <c r="P868" s="239"/>
      <c r="Q868" s="505"/>
      <c r="R868" s="307"/>
      <c r="S868" s="307"/>
      <c r="T868" s="307"/>
      <c r="U868" s="507">
        <v>48.269</v>
      </c>
      <c r="V868" s="240"/>
      <c r="W868" s="240"/>
      <c r="X868" s="240"/>
      <c r="Y868" s="240"/>
      <c r="Z868" s="308"/>
      <c r="AA868" s="308"/>
      <c r="AB868" s="241"/>
      <c r="AC868" s="242"/>
      <c r="AD868" s="259"/>
      <c r="AE868" s="308"/>
      <c r="AF868" s="308"/>
      <c r="AG868" s="240"/>
      <c r="AH868" s="240"/>
      <c r="AI868" s="240"/>
      <c r="AJ868" s="240"/>
      <c r="AK868" s="308"/>
      <c r="AL868" s="244"/>
      <c r="AM868" s="236"/>
      <c r="AN868" s="378"/>
    </row>
    <row r="869" spans="1:40" s="506" customFormat="1" ht="19.5" customHeight="1">
      <c r="A869" s="596"/>
      <c r="B869" s="555" t="s">
        <v>748</v>
      </c>
      <c r="C869" s="556" t="s">
        <v>1355</v>
      </c>
      <c r="D869" s="556"/>
      <c r="E869" s="557"/>
      <c r="F869" s="532"/>
      <c r="G869" s="532"/>
      <c r="H869" s="532"/>
      <c r="I869" s="522">
        <v>2000</v>
      </c>
      <c r="J869" s="522">
        <v>2000</v>
      </c>
      <c r="K869" s="522"/>
      <c r="L869" s="522"/>
      <c r="M869" s="522">
        <v>2000</v>
      </c>
      <c r="N869" s="248">
        <v>1984.252</v>
      </c>
      <c r="O869" s="248"/>
      <c r="P869" s="248"/>
      <c r="Q869" s="558"/>
      <c r="R869" s="523"/>
      <c r="S869" s="523"/>
      <c r="T869" s="523"/>
      <c r="U869" s="524">
        <v>1984.252</v>
      </c>
      <c r="V869" s="240"/>
      <c r="W869" s="240"/>
      <c r="X869" s="240"/>
      <c r="Y869" s="240"/>
      <c r="Z869" s="308"/>
      <c r="AA869" s="308"/>
      <c r="AB869" s="241"/>
      <c r="AC869" s="242"/>
      <c r="AD869" s="259"/>
      <c r="AE869" s="308"/>
      <c r="AF869" s="308"/>
      <c r="AG869" s="240"/>
      <c r="AH869" s="240"/>
      <c r="AI869" s="240"/>
      <c r="AJ869" s="240"/>
      <c r="AK869" s="308"/>
      <c r="AL869" s="244"/>
      <c r="AM869" s="236"/>
      <c r="AN869" s="378"/>
    </row>
    <row r="870" spans="1:41" s="506" customFormat="1" ht="19.5" customHeight="1">
      <c r="A870" s="275">
        <v>2</v>
      </c>
      <c r="B870" s="498" t="s">
        <v>749</v>
      </c>
      <c r="C870" s="508"/>
      <c r="D870" s="508"/>
      <c r="E870" s="509"/>
      <c r="F870" s="510"/>
      <c r="G870" s="510"/>
      <c r="H870" s="510"/>
      <c r="I870" s="282">
        <f aca="true" t="shared" si="314" ref="I870:AO870">SUM(I871:I876)</f>
        <v>476.879828</v>
      </c>
      <c r="J870" s="282">
        <f t="shared" si="314"/>
        <v>193.022</v>
      </c>
      <c r="K870" s="282">
        <f t="shared" si="314"/>
        <v>283.86</v>
      </c>
      <c r="L870" s="282">
        <f t="shared" si="314"/>
        <v>0</v>
      </c>
      <c r="M870" s="282">
        <f t="shared" si="314"/>
        <v>193.022</v>
      </c>
      <c r="N870" s="296">
        <f t="shared" si="314"/>
        <v>580.684</v>
      </c>
      <c r="O870" s="296">
        <f t="shared" si="314"/>
        <v>378.572</v>
      </c>
      <c r="P870" s="296">
        <f t="shared" si="314"/>
        <v>387.66</v>
      </c>
      <c r="Q870" s="296">
        <f t="shared" si="314"/>
        <v>0</v>
      </c>
      <c r="R870" s="296">
        <f t="shared" si="314"/>
        <v>387.66</v>
      </c>
      <c r="S870" s="296">
        <f t="shared" si="314"/>
        <v>0</v>
      </c>
      <c r="T870" s="296">
        <f t="shared" si="314"/>
        <v>0</v>
      </c>
      <c r="U870" s="296">
        <f t="shared" si="314"/>
        <v>193.022</v>
      </c>
      <c r="V870" s="559">
        <f t="shared" si="314"/>
        <v>0</v>
      </c>
      <c r="W870" s="559">
        <f t="shared" si="314"/>
        <v>0</v>
      </c>
      <c r="X870" s="559">
        <f t="shared" si="314"/>
        <v>0</v>
      </c>
      <c r="Y870" s="559">
        <f t="shared" si="314"/>
        <v>0</v>
      </c>
      <c r="Z870" s="559">
        <f t="shared" si="314"/>
        <v>0</v>
      </c>
      <c r="AA870" s="559">
        <f t="shared" si="314"/>
        <v>0</v>
      </c>
      <c r="AB870" s="559">
        <f t="shared" si="314"/>
        <v>0</v>
      </c>
      <c r="AC870" s="559">
        <f t="shared" si="314"/>
        <v>0</v>
      </c>
      <c r="AD870" s="559">
        <f t="shared" si="314"/>
        <v>0</v>
      </c>
      <c r="AE870" s="559">
        <f t="shared" si="314"/>
        <v>0</v>
      </c>
      <c r="AF870" s="559">
        <f t="shared" si="314"/>
        <v>0</v>
      </c>
      <c r="AG870" s="559">
        <f t="shared" si="314"/>
        <v>0</v>
      </c>
      <c r="AH870" s="559">
        <f t="shared" si="314"/>
        <v>0</v>
      </c>
      <c r="AI870" s="559">
        <f t="shared" si="314"/>
        <v>0</v>
      </c>
      <c r="AJ870" s="559">
        <f t="shared" si="314"/>
        <v>0</v>
      </c>
      <c r="AK870" s="559">
        <f t="shared" si="314"/>
        <v>0</v>
      </c>
      <c r="AL870" s="559">
        <f t="shared" si="314"/>
        <v>0</v>
      </c>
      <c r="AM870" s="559">
        <f t="shared" si="314"/>
        <v>0</v>
      </c>
      <c r="AN870" s="559">
        <f t="shared" si="314"/>
        <v>0</v>
      </c>
      <c r="AO870" s="559">
        <f t="shared" si="314"/>
        <v>0</v>
      </c>
    </row>
    <row r="871" spans="1:40" s="506" customFormat="1" ht="24.75" customHeight="1">
      <c r="A871" s="263"/>
      <c r="B871" s="478" t="s">
        <v>750</v>
      </c>
      <c r="C871" s="502" t="s">
        <v>1054</v>
      </c>
      <c r="D871" s="502" t="s">
        <v>335</v>
      </c>
      <c r="E871" s="503"/>
      <c r="F871" s="504">
        <v>187.857828</v>
      </c>
      <c r="G871" s="504">
        <v>185.552</v>
      </c>
      <c r="H871" s="504">
        <v>0</v>
      </c>
      <c r="I871" s="237">
        <v>187.857828</v>
      </c>
      <c r="J871" s="237"/>
      <c r="K871" s="237">
        <v>187.86</v>
      </c>
      <c r="L871" s="237"/>
      <c r="M871" s="237"/>
      <c r="N871" s="239">
        <v>185.552</v>
      </c>
      <c r="O871" s="239">
        <v>185.55</v>
      </c>
      <c r="P871" s="239">
        <f>SUM(Q871:S871)</f>
        <v>185.55</v>
      </c>
      <c r="Q871" s="505"/>
      <c r="R871" s="307">
        <v>185.55</v>
      </c>
      <c r="S871" s="307"/>
      <c r="T871" s="307"/>
      <c r="U871" s="505"/>
      <c r="V871" s="240"/>
      <c r="W871" s="240"/>
      <c r="X871" s="240"/>
      <c r="Y871" s="240"/>
      <c r="Z871" s="308"/>
      <c r="AA871" s="308"/>
      <c r="AB871" s="241"/>
      <c r="AC871" s="242"/>
      <c r="AD871" s="259"/>
      <c r="AE871" s="308"/>
      <c r="AF871" s="308"/>
      <c r="AG871" s="240"/>
      <c r="AH871" s="240"/>
      <c r="AI871" s="240"/>
      <c r="AJ871" s="240"/>
      <c r="AK871" s="308"/>
      <c r="AL871" s="244"/>
      <c r="AM871" s="236"/>
      <c r="AN871" s="378"/>
    </row>
    <row r="872" spans="1:40" s="506" customFormat="1" ht="19.5" customHeight="1">
      <c r="A872" s="263"/>
      <c r="B872" s="478" t="s">
        <v>751</v>
      </c>
      <c r="C872" s="502" t="s">
        <v>1355</v>
      </c>
      <c r="D872" s="502"/>
      <c r="E872" s="503"/>
      <c r="F872" s="504"/>
      <c r="G872" s="504"/>
      <c r="H872" s="504"/>
      <c r="I872" s="237">
        <f>SUM(M872,K872)</f>
        <v>279.022</v>
      </c>
      <c r="J872" s="237">
        <v>193.022</v>
      </c>
      <c r="K872" s="237">
        <v>86</v>
      </c>
      <c r="L872" s="237"/>
      <c r="M872" s="237">
        <v>193.022</v>
      </c>
      <c r="N872" s="239">
        <v>193.022</v>
      </c>
      <c r="O872" s="239">
        <v>193.022</v>
      </c>
      <c r="P872" s="239"/>
      <c r="Q872" s="505"/>
      <c r="R872" s="307"/>
      <c r="S872" s="307"/>
      <c r="T872" s="307"/>
      <c r="U872" s="507">
        <v>193.022</v>
      </c>
      <c r="V872" s="240"/>
      <c r="W872" s="240"/>
      <c r="X872" s="240"/>
      <c r="Y872" s="240"/>
      <c r="Z872" s="308"/>
      <c r="AA872" s="308"/>
      <c r="AB872" s="241"/>
      <c r="AC872" s="242"/>
      <c r="AD872" s="259"/>
      <c r="AE872" s="308"/>
      <c r="AF872" s="308"/>
      <c r="AG872" s="240"/>
      <c r="AH872" s="240"/>
      <c r="AI872" s="240"/>
      <c r="AJ872" s="240"/>
      <c r="AK872" s="308"/>
      <c r="AL872" s="244"/>
      <c r="AM872" s="236"/>
      <c r="AN872" s="378"/>
    </row>
    <row r="873" spans="1:40" s="506" customFormat="1" ht="19.5" customHeight="1">
      <c r="A873" s="263"/>
      <c r="B873" s="478" t="s">
        <v>752</v>
      </c>
      <c r="C873" s="502" t="s">
        <v>1634</v>
      </c>
      <c r="D873" s="502"/>
      <c r="E873" s="503"/>
      <c r="F873" s="504">
        <v>2047</v>
      </c>
      <c r="G873" s="504"/>
      <c r="H873" s="504"/>
      <c r="I873" s="237">
        <v>10</v>
      </c>
      <c r="J873" s="237"/>
      <c r="K873" s="237">
        <v>10</v>
      </c>
      <c r="L873" s="237"/>
      <c r="M873" s="237"/>
      <c r="N873" s="239">
        <f>SUM(P873,U873)</f>
        <v>7.77</v>
      </c>
      <c r="O873" s="239"/>
      <c r="P873" s="239">
        <f>SUM(Q873:S873)</f>
        <v>7.77</v>
      </c>
      <c r="Q873" s="505"/>
      <c r="R873" s="560">
        <v>7.77</v>
      </c>
      <c r="S873" s="307"/>
      <c r="T873" s="307"/>
      <c r="U873" s="306"/>
      <c r="V873" s="240"/>
      <c r="W873" s="240"/>
      <c r="X873" s="240"/>
      <c r="Y873" s="240"/>
      <c r="Z873" s="308"/>
      <c r="AA873" s="308"/>
      <c r="AB873" s="241"/>
      <c r="AC873" s="242"/>
      <c r="AD873" s="259"/>
      <c r="AE873" s="308"/>
      <c r="AF873" s="308"/>
      <c r="AG873" s="240"/>
      <c r="AH873" s="240"/>
      <c r="AI873" s="240"/>
      <c r="AJ873" s="240"/>
      <c r="AK873" s="308"/>
      <c r="AL873" s="244"/>
      <c r="AM873" s="236"/>
      <c r="AN873" s="378"/>
    </row>
    <row r="874" spans="1:40" s="506" customFormat="1" ht="19.5" customHeight="1">
      <c r="A874" s="263"/>
      <c r="B874" s="478" t="s">
        <v>753</v>
      </c>
      <c r="C874" s="502"/>
      <c r="D874" s="502"/>
      <c r="E874" s="503"/>
      <c r="F874" s="504"/>
      <c r="G874" s="504"/>
      <c r="H874" s="504"/>
      <c r="I874" s="237"/>
      <c r="J874" s="237"/>
      <c r="K874" s="237"/>
      <c r="L874" s="237"/>
      <c r="M874" s="237"/>
      <c r="N874" s="239">
        <f>SUM(P874,U874)</f>
        <v>20.61</v>
      </c>
      <c r="O874" s="239"/>
      <c r="P874" s="239">
        <f>SUM(Q874:S874)</f>
        <v>20.61</v>
      </c>
      <c r="Q874" s="505"/>
      <c r="R874" s="307">
        <v>20.61</v>
      </c>
      <c r="S874" s="307"/>
      <c r="T874" s="307"/>
      <c r="U874" s="306"/>
      <c r="V874" s="240"/>
      <c r="W874" s="240"/>
      <c r="X874" s="240"/>
      <c r="Y874" s="240"/>
      <c r="Z874" s="308"/>
      <c r="AA874" s="308"/>
      <c r="AB874" s="241"/>
      <c r="AC874" s="242"/>
      <c r="AD874" s="259"/>
      <c r="AE874" s="308"/>
      <c r="AF874" s="308"/>
      <c r="AG874" s="240"/>
      <c r="AH874" s="240"/>
      <c r="AI874" s="240"/>
      <c r="AJ874" s="240"/>
      <c r="AK874" s="308"/>
      <c r="AL874" s="244"/>
      <c r="AM874" s="236"/>
      <c r="AN874" s="378"/>
    </row>
    <row r="875" spans="1:40" s="506" customFormat="1" ht="19.5" customHeight="1">
      <c r="A875" s="263"/>
      <c r="B875" s="478" t="s">
        <v>754</v>
      </c>
      <c r="C875" s="502"/>
      <c r="D875" s="502"/>
      <c r="E875" s="503"/>
      <c r="F875" s="504"/>
      <c r="G875" s="504"/>
      <c r="H875" s="504"/>
      <c r="I875" s="237"/>
      <c r="J875" s="237"/>
      <c r="K875" s="237"/>
      <c r="L875" s="237"/>
      <c r="M875" s="237"/>
      <c r="N875" s="239">
        <f>SUM(P875,U875)</f>
        <v>173.75</v>
      </c>
      <c r="O875" s="239"/>
      <c r="P875" s="239">
        <f>SUM(Q875:S875)</f>
        <v>173.75</v>
      </c>
      <c r="Q875" s="505"/>
      <c r="R875" s="307">
        <v>173.75</v>
      </c>
      <c r="S875" s="307"/>
      <c r="T875" s="307"/>
      <c r="U875" s="306"/>
      <c r="V875" s="240"/>
      <c r="W875" s="240"/>
      <c r="X875" s="240"/>
      <c r="Y875" s="240"/>
      <c r="Z875" s="308"/>
      <c r="AA875" s="308"/>
      <c r="AB875" s="241"/>
      <c r="AC875" s="242"/>
      <c r="AD875" s="259"/>
      <c r="AE875" s="308"/>
      <c r="AF875" s="308"/>
      <c r="AG875" s="240"/>
      <c r="AH875" s="240"/>
      <c r="AI875" s="240"/>
      <c r="AJ875" s="240"/>
      <c r="AK875" s="308"/>
      <c r="AL875" s="244"/>
      <c r="AM875" s="236"/>
      <c r="AN875" s="378"/>
    </row>
    <row r="876" spans="1:40" s="506" customFormat="1" ht="19.5" customHeight="1">
      <c r="A876" s="263"/>
      <c r="B876" s="478" t="s">
        <v>755</v>
      </c>
      <c r="C876" s="502"/>
      <c r="D876" s="502"/>
      <c r="E876" s="503"/>
      <c r="F876" s="504"/>
      <c r="G876" s="504"/>
      <c r="H876" s="504"/>
      <c r="I876" s="237"/>
      <c r="J876" s="237"/>
      <c r="K876" s="237"/>
      <c r="L876" s="237"/>
      <c r="M876" s="237"/>
      <c r="N876" s="283">
        <f>SUM(P876,U876)</f>
        <v>-0.02</v>
      </c>
      <c r="O876" s="239"/>
      <c r="P876" s="283">
        <f>SUM(Q876:S876)</f>
        <v>-0.02</v>
      </c>
      <c r="Q876" s="505"/>
      <c r="R876" s="507">
        <v>-0.02</v>
      </c>
      <c r="S876" s="307"/>
      <c r="T876" s="307"/>
      <c r="U876" s="306"/>
      <c r="V876" s="240"/>
      <c r="W876" s="240"/>
      <c r="X876" s="240"/>
      <c r="Y876" s="240"/>
      <c r="Z876" s="308"/>
      <c r="AA876" s="308"/>
      <c r="AB876" s="241"/>
      <c r="AC876" s="242"/>
      <c r="AD876" s="259"/>
      <c r="AE876" s="308"/>
      <c r="AF876" s="308"/>
      <c r="AG876" s="240"/>
      <c r="AH876" s="240"/>
      <c r="AI876" s="240"/>
      <c r="AJ876" s="240"/>
      <c r="AK876" s="308"/>
      <c r="AL876" s="244"/>
      <c r="AM876" s="236"/>
      <c r="AN876" s="378"/>
    </row>
    <row r="877" spans="1:40" s="506" customFormat="1" ht="30" customHeight="1">
      <c r="A877" s="216">
        <v>3</v>
      </c>
      <c r="B877" s="286" t="s">
        <v>756</v>
      </c>
      <c r="C877" s="561"/>
      <c r="D877" s="561"/>
      <c r="E877" s="562"/>
      <c r="F877" s="563"/>
      <c r="G877" s="563"/>
      <c r="H877" s="563"/>
      <c r="I877" s="222">
        <f>I878</f>
        <v>1500</v>
      </c>
      <c r="J877" s="222"/>
      <c r="K877" s="222">
        <f>K878</f>
        <v>1500</v>
      </c>
      <c r="L877" s="222"/>
      <c r="M877" s="222"/>
      <c r="N877" s="222">
        <f>SUM(N878)</f>
        <v>1484.567688</v>
      </c>
      <c r="O877" s="222">
        <f aca="true" t="shared" si="315" ref="O877:U877">SUM(O878)</f>
        <v>0</v>
      </c>
      <c r="P877" s="222">
        <f t="shared" si="315"/>
        <v>1484.57</v>
      </c>
      <c r="Q877" s="222">
        <f t="shared" si="315"/>
        <v>1484.567688</v>
      </c>
      <c r="R877" s="222">
        <f t="shared" si="315"/>
        <v>0</v>
      </c>
      <c r="S877" s="222">
        <f t="shared" si="315"/>
        <v>0</v>
      </c>
      <c r="T877" s="222">
        <f t="shared" si="315"/>
        <v>0</v>
      </c>
      <c r="U877" s="222">
        <f t="shared" si="315"/>
        <v>0</v>
      </c>
      <c r="V877" s="240"/>
      <c r="W877" s="240"/>
      <c r="X877" s="240"/>
      <c r="Y877" s="240"/>
      <c r="Z877" s="308"/>
      <c r="AA877" s="308"/>
      <c r="AB877" s="241"/>
      <c r="AC877" s="242"/>
      <c r="AD877" s="259"/>
      <c r="AE877" s="308"/>
      <c r="AF877" s="308"/>
      <c r="AG877" s="240"/>
      <c r="AH877" s="240"/>
      <c r="AI877" s="240"/>
      <c r="AJ877" s="240"/>
      <c r="AK877" s="308"/>
      <c r="AL877" s="244"/>
      <c r="AM877" s="236"/>
      <c r="AN877" s="378"/>
    </row>
    <row r="878" spans="1:40" s="506" customFormat="1" ht="25.5">
      <c r="A878" s="230"/>
      <c r="B878" s="323" t="s">
        <v>757</v>
      </c>
      <c r="C878" s="315" t="s">
        <v>1404</v>
      </c>
      <c r="D878" s="315"/>
      <c r="E878" s="316"/>
      <c r="F878" s="564"/>
      <c r="G878" s="564"/>
      <c r="H878" s="564"/>
      <c r="I878" s="237">
        <f>K878+M878</f>
        <v>1500</v>
      </c>
      <c r="J878" s="238"/>
      <c r="K878" s="237">
        <v>1500</v>
      </c>
      <c r="L878" s="237"/>
      <c r="M878" s="237"/>
      <c r="N878" s="239">
        <f>Q878+R878+S878</f>
        <v>1484.567688</v>
      </c>
      <c r="O878" s="239"/>
      <c r="P878" s="239">
        <v>1484.57</v>
      </c>
      <c r="Q878" s="239">
        <v>1484.567688</v>
      </c>
      <c r="R878" s="239">
        <v>0</v>
      </c>
      <c r="S878" s="239">
        <v>0</v>
      </c>
      <c r="T878" s="301"/>
      <c r="U878" s="235"/>
      <c r="V878" s="240"/>
      <c r="W878" s="240"/>
      <c r="X878" s="240"/>
      <c r="Y878" s="240"/>
      <c r="Z878" s="308"/>
      <c r="AA878" s="308"/>
      <c r="AB878" s="241"/>
      <c r="AC878" s="242"/>
      <c r="AD878" s="259"/>
      <c r="AE878" s="308"/>
      <c r="AF878" s="308"/>
      <c r="AG878" s="240"/>
      <c r="AH878" s="240"/>
      <c r="AI878" s="240"/>
      <c r="AJ878" s="240"/>
      <c r="AK878" s="308"/>
      <c r="AL878" s="244"/>
      <c r="AM878" s="236"/>
      <c r="AN878" s="378"/>
    </row>
    <row r="879" spans="1:40" s="506" customFormat="1" ht="19.5" customHeight="1">
      <c r="A879" s="275">
        <v>4</v>
      </c>
      <c r="B879" s="498" t="s">
        <v>758</v>
      </c>
      <c r="C879" s="508"/>
      <c r="D879" s="508"/>
      <c r="E879" s="509"/>
      <c r="F879" s="510"/>
      <c r="G879" s="510"/>
      <c r="H879" s="510"/>
      <c r="I879" s="282">
        <f>SUM(I882:I889)</f>
        <v>17680.097</v>
      </c>
      <c r="J879" s="282">
        <f>SUM(J882:J889)</f>
        <v>1501.659</v>
      </c>
      <c r="K879" s="282">
        <f>SUM(K882:K889)</f>
        <v>17680.099000000002</v>
      </c>
      <c r="L879" s="282">
        <f>SUM(L882:L889)</f>
        <v>0</v>
      </c>
      <c r="M879" s="282">
        <f>SUM(M882:M889)</f>
        <v>0</v>
      </c>
      <c r="N879" s="282">
        <f>SUM(N880:N889)</f>
        <v>15661.88</v>
      </c>
      <c r="O879" s="282">
        <f aca="true" t="shared" si="316" ref="O879:U879">SUM(O880:O889)</f>
        <v>4078.908</v>
      </c>
      <c r="P879" s="282">
        <f t="shared" si="316"/>
        <v>14413.91</v>
      </c>
      <c r="Q879" s="282">
        <f t="shared" si="316"/>
        <v>14388.14</v>
      </c>
      <c r="R879" s="282">
        <f t="shared" si="316"/>
        <v>0</v>
      </c>
      <c r="S879" s="282">
        <f t="shared" si="316"/>
        <v>0</v>
      </c>
      <c r="T879" s="282">
        <f t="shared" si="316"/>
        <v>0</v>
      </c>
      <c r="U879" s="282">
        <f t="shared" si="316"/>
        <v>1247.97</v>
      </c>
      <c r="V879" s="240"/>
      <c r="W879" s="240"/>
      <c r="X879" s="240"/>
      <c r="Y879" s="240"/>
      <c r="Z879" s="308"/>
      <c r="AA879" s="308"/>
      <c r="AB879" s="241"/>
      <c r="AC879" s="242"/>
      <c r="AD879" s="259"/>
      <c r="AE879" s="308"/>
      <c r="AF879" s="308"/>
      <c r="AG879" s="240"/>
      <c r="AH879" s="240"/>
      <c r="AI879" s="240"/>
      <c r="AJ879" s="240"/>
      <c r="AK879" s="308"/>
      <c r="AL879" s="244"/>
      <c r="AM879" s="236"/>
      <c r="AN879" s="378"/>
    </row>
    <row r="880" spans="1:40" s="506" customFormat="1" ht="19.5" customHeight="1">
      <c r="A880" s="275"/>
      <c r="B880" s="478" t="s">
        <v>759</v>
      </c>
      <c r="C880" s="502"/>
      <c r="D880" s="502"/>
      <c r="E880" s="503"/>
      <c r="F880" s="504"/>
      <c r="G880" s="504"/>
      <c r="H880" s="504"/>
      <c r="I880" s="237"/>
      <c r="J880" s="237"/>
      <c r="K880" s="237"/>
      <c r="L880" s="237"/>
      <c r="M880" s="237"/>
      <c r="N880" s="237">
        <f>SUM(P880,U880)</f>
        <v>22.75</v>
      </c>
      <c r="O880" s="237"/>
      <c r="P880" s="237">
        <v>22.75</v>
      </c>
      <c r="Q880" s="237"/>
      <c r="R880" s="237"/>
      <c r="S880" s="237"/>
      <c r="T880" s="237"/>
      <c r="U880" s="237"/>
      <c r="V880" s="240"/>
      <c r="W880" s="240"/>
      <c r="X880" s="240"/>
      <c r="Y880" s="240"/>
      <c r="Z880" s="308"/>
      <c r="AA880" s="308"/>
      <c r="AB880" s="241"/>
      <c r="AC880" s="242"/>
      <c r="AD880" s="259"/>
      <c r="AE880" s="308"/>
      <c r="AF880" s="308"/>
      <c r="AG880" s="240"/>
      <c r="AH880" s="240"/>
      <c r="AI880" s="240"/>
      <c r="AJ880" s="240"/>
      <c r="AK880" s="308"/>
      <c r="AL880" s="244"/>
      <c r="AM880" s="236"/>
      <c r="AN880" s="378"/>
    </row>
    <row r="881" spans="1:40" s="506" customFormat="1" ht="19.5" customHeight="1">
      <c r="A881" s="275"/>
      <c r="B881" s="478" t="s">
        <v>760</v>
      </c>
      <c r="C881" s="502"/>
      <c r="D881" s="502"/>
      <c r="E881" s="503"/>
      <c r="F881" s="504"/>
      <c r="G881" s="504"/>
      <c r="H881" s="504"/>
      <c r="I881" s="237"/>
      <c r="J881" s="237"/>
      <c r="K881" s="237"/>
      <c r="L881" s="237"/>
      <c r="M881" s="237"/>
      <c r="N881" s="237">
        <f>SUM(P881,U881)</f>
        <v>3.02</v>
      </c>
      <c r="O881" s="237"/>
      <c r="P881" s="237">
        <v>3.02</v>
      </c>
      <c r="Q881" s="237"/>
      <c r="R881" s="237"/>
      <c r="S881" s="237"/>
      <c r="T881" s="237"/>
      <c r="U881" s="237"/>
      <c r="V881" s="240"/>
      <c r="W881" s="240"/>
      <c r="X881" s="240"/>
      <c r="Y881" s="240"/>
      <c r="Z881" s="308"/>
      <c r="AA881" s="308"/>
      <c r="AB881" s="241"/>
      <c r="AC881" s="242"/>
      <c r="AD881" s="259"/>
      <c r="AE881" s="308"/>
      <c r="AF881" s="308"/>
      <c r="AG881" s="240"/>
      <c r="AH881" s="240"/>
      <c r="AI881" s="240"/>
      <c r="AJ881" s="240"/>
      <c r="AK881" s="308"/>
      <c r="AL881" s="244"/>
      <c r="AM881" s="236"/>
      <c r="AN881" s="378"/>
    </row>
    <row r="882" spans="1:40" s="506" customFormat="1" ht="19.5" customHeight="1">
      <c r="A882" s="275"/>
      <c r="B882" s="478" t="s">
        <v>761</v>
      </c>
      <c r="C882" s="502" t="s">
        <v>360</v>
      </c>
      <c r="D882" s="508"/>
      <c r="E882" s="509"/>
      <c r="F882" s="510"/>
      <c r="G882" s="510"/>
      <c r="H882" s="510"/>
      <c r="I882" s="237">
        <v>4981.372</v>
      </c>
      <c r="J882" s="237"/>
      <c r="K882" s="237">
        <v>4981.372</v>
      </c>
      <c r="L882" s="282"/>
      <c r="M882" s="282"/>
      <c r="N882" s="237">
        <f>SUM(P882,U882)</f>
        <v>4981.37</v>
      </c>
      <c r="O882" s="282"/>
      <c r="P882" s="237">
        <f>SUM(Q882:S882)</f>
        <v>3733.4</v>
      </c>
      <c r="Q882" s="237">
        <v>3733.4</v>
      </c>
      <c r="R882" s="282"/>
      <c r="S882" s="282"/>
      <c r="T882" s="282"/>
      <c r="U882" s="458">
        <v>1247.97</v>
      </c>
      <c r="V882" s="240"/>
      <c r="W882" s="240"/>
      <c r="X882" s="240"/>
      <c r="Y882" s="240"/>
      <c r="Z882" s="308"/>
      <c r="AA882" s="308"/>
      <c r="AB882" s="241"/>
      <c r="AC882" s="242"/>
      <c r="AD882" s="259"/>
      <c r="AE882" s="308"/>
      <c r="AF882" s="308"/>
      <c r="AG882" s="240"/>
      <c r="AH882" s="240"/>
      <c r="AI882" s="240"/>
      <c r="AJ882" s="240"/>
      <c r="AK882" s="308"/>
      <c r="AL882" s="244"/>
      <c r="AM882" s="236"/>
      <c r="AN882" s="378"/>
    </row>
    <row r="883" spans="1:40" s="506" customFormat="1" ht="19.5" customHeight="1">
      <c r="A883" s="230"/>
      <c r="B883" s="478" t="s">
        <v>762</v>
      </c>
      <c r="C883" s="315" t="s">
        <v>1267</v>
      </c>
      <c r="D883" s="315"/>
      <c r="E883" s="316"/>
      <c r="F883" s="564"/>
      <c r="G883" s="564"/>
      <c r="H883" s="564"/>
      <c r="I883" s="237">
        <v>25.407</v>
      </c>
      <c r="J883" s="238"/>
      <c r="K883" s="237">
        <v>25.407</v>
      </c>
      <c r="L883" s="237"/>
      <c r="M883" s="237"/>
      <c r="N883" s="239">
        <v>25.407</v>
      </c>
      <c r="O883" s="239"/>
      <c r="P883" s="237">
        <f>SUM(Q883:S883)</f>
        <v>25.407</v>
      </c>
      <c r="Q883" s="505">
        <v>25.407</v>
      </c>
      <c r="R883" s="301"/>
      <c r="S883" s="301"/>
      <c r="T883" s="301"/>
      <c r="U883" s="235"/>
      <c r="V883" s="240"/>
      <c r="W883" s="240"/>
      <c r="X883" s="240"/>
      <c r="Y883" s="240"/>
      <c r="Z883" s="308"/>
      <c r="AA883" s="308"/>
      <c r="AB883" s="241"/>
      <c r="AC883" s="242"/>
      <c r="AD883" s="259"/>
      <c r="AE883" s="308"/>
      <c r="AF883" s="308"/>
      <c r="AG883" s="240"/>
      <c r="AH883" s="240"/>
      <c r="AI883" s="240"/>
      <c r="AJ883" s="240"/>
      <c r="AK883" s="308"/>
      <c r="AL883" s="244"/>
      <c r="AM883" s="236"/>
      <c r="AN883" s="378"/>
    </row>
    <row r="884" spans="1:40" s="506" customFormat="1" ht="102" customHeight="1">
      <c r="A884" s="263"/>
      <c r="B884" s="478" t="s">
        <v>763</v>
      </c>
      <c r="C884" s="502" t="s">
        <v>1397</v>
      </c>
      <c r="D884" s="502" t="s">
        <v>20</v>
      </c>
      <c r="E884" s="503" t="s">
        <v>764</v>
      </c>
      <c r="F884" s="504">
        <v>7000</v>
      </c>
      <c r="G884" s="504">
        <v>6300</v>
      </c>
      <c r="H884" s="504">
        <v>4500</v>
      </c>
      <c r="I884" s="237">
        <v>5503.318</v>
      </c>
      <c r="J884" s="237">
        <v>1501.659</v>
      </c>
      <c r="K884" s="237">
        <v>5503.32</v>
      </c>
      <c r="L884" s="237"/>
      <c r="M884" s="237"/>
      <c r="N884" s="237">
        <f>SUM(P884,U884)</f>
        <v>4078.908</v>
      </c>
      <c r="O884" s="237">
        <v>4078.908</v>
      </c>
      <c r="P884" s="237">
        <f aca="true" t="shared" si="317" ref="P884:P889">SUM(Q884:S884)</f>
        <v>4078.908</v>
      </c>
      <c r="Q884" s="237">
        <v>4078.908</v>
      </c>
      <c r="R884" s="237"/>
      <c r="S884" s="237"/>
      <c r="T884" s="237"/>
      <c r="U884" s="237"/>
      <c r="V884" s="240"/>
      <c r="W884" s="240"/>
      <c r="X884" s="240"/>
      <c r="Y884" s="240"/>
      <c r="Z884" s="308"/>
      <c r="AA884" s="308"/>
      <c r="AB884" s="241"/>
      <c r="AC884" s="242"/>
      <c r="AD884" s="259"/>
      <c r="AE884" s="308"/>
      <c r="AF884" s="308"/>
      <c r="AG884" s="240"/>
      <c r="AH884" s="240"/>
      <c r="AI884" s="240"/>
      <c r="AJ884" s="240"/>
      <c r="AK884" s="308"/>
      <c r="AL884" s="244"/>
      <c r="AM884" s="236"/>
      <c r="AN884" s="378"/>
    </row>
    <row r="885" spans="1:40" s="506" customFormat="1" ht="24" customHeight="1">
      <c r="A885" s="263"/>
      <c r="B885" s="478" t="s">
        <v>765</v>
      </c>
      <c r="C885" s="502" t="s">
        <v>766</v>
      </c>
      <c r="D885" s="502" t="s">
        <v>767</v>
      </c>
      <c r="E885" s="503"/>
      <c r="F885" s="504">
        <v>11510</v>
      </c>
      <c r="G885" s="504">
        <v>0</v>
      </c>
      <c r="H885" s="504">
        <v>4282</v>
      </c>
      <c r="I885" s="237">
        <v>3180</v>
      </c>
      <c r="J885" s="237"/>
      <c r="K885" s="237">
        <v>3180</v>
      </c>
      <c r="L885" s="237"/>
      <c r="M885" s="237"/>
      <c r="N885" s="239">
        <v>3180</v>
      </c>
      <c r="O885" s="239"/>
      <c r="P885" s="237">
        <f t="shared" si="317"/>
        <v>3180</v>
      </c>
      <c r="Q885" s="505">
        <v>3180</v>
      </c>
      <c r="R885" s="307"/>
      <c r="S885" s="307"/>
      <c r="T885" s="307"/>
      <c r="U885" s="505"/>
      <c r="V885" s="240"/>
      <c r="W885" s="240"/>
      <c r="X885" s="240"/>
      <c r="Y885" s="240"/>
      <c r="Z885" s="308"/>
      <c r="AA885" s="308"/>
      <c r="AB885" s="241"/>
      <c r="AC885" s="242"/>
      <c r="AD885" s="259"/>
      <c r="AE885" s="308"/>
      <c r="AF885" s="308"/>
      <c r="AG885" s="240"/>
      <c r="AH885" s="240"/>
      <c r="AI885" s="240"/>
      <c r="AJ885" s="240"/>
      <c r="AK885" s="308"/>
      <c r="AL885" s="244"/>
      <c r="AM885" s="236"/>
      <c r="AN885" s="378"/>
    </row>
    <row r="886" spans="1:40" s="506" customFormat="1" ht="23.25" customHeight="1">
      <c r="A886" s="263"/>
      <c r="B886" s="478" t="s">
        <v>768</v>
      </c>
      <c r="C886" s="502" t="s">
        <v>1608</v>
      </c>
      <c r="D886" s="502" t="s">
        <v>767</v>
      </c>
      <c r="E886" s="503"/>
      <c r="F886" s="504">
        <v>4000</v>
      </c>
      <c r="G886" s="504">
        <v>3632</v>
      </c>
      <c r="H886" s="504">
        <v>2950</v>
      </c>
      <c r="I886" s="237">
        <v>1450</v>
      </c>
      <c r="J886" s="237"/>
      <c r="K886" s="237">
        <v>1450</v>
      </c>
      <c r="L886" s="237"/>
      <c r="M886" s="237"/>
      <c r="N886" s="239">
        <v>1450</v>
      </c>
      <c r="O886" s="239"/>
      <c r="P886" s="237">
        <f t="shared" si="317"/>
        <v>1450</v>
      </c>
      <c r="Q886" s="505">
        <v>1450</v>
      </c>
      <c r="R886" s="307"/>
      <c r="S886" s="307"/>
      <c r="T886" s="307"/>
      <c r="U886" s="505"/>
      <c r="V886" s="240"/>
      <c r="W886" s="240"/>
      <c r="X886" s="240"/>
      <c r="Y886" s="240"/>
      <c r="Z886" s="308"/>
      <c r="AA886" s="308"/>
      <c r="AB886" s="241"/>
      <c r="AC886" s="242"/>
      <c r="AD886" s="259"/>
      <c r="AE886" s="308"/>
      <c r="AF886" s="308"/>
      <c r="AG886" s="240"/>
      <c r="AH886" s="240"/>
      <c r="AI886" s="240"/>
      <c r="AJ886" s="240"/>
      <c r="AK886" s="308"/>
      <c r="AL886" s="244"/>
      <c r="AM886" s="236"/>
      <c r="AN886" s="378"/>
    </row>
    <row r="887" spans="1:40" s="506" customFormat="1" ht="19.5" customHeight="1">
      <c r="A887" s="263"/>
      <c r="B887" s="478" t="s">
        <v>769</v>
      </c>
      <c r="C887" s="502" t="s">
        <v>1634</v>
      </c>
      <c r="D887" s="502"/>
      <c r="E887" s="503"/>
      <c r="F887" s="504">
        <v>5598.6</v>
      </c>
      <c r="G887" s="504"/>
      <c r="H887" s="504"/>
      <c r="I887" s="237">
        <v>930</v>
      </c>
      <c r="J887" s="237"/>
      <c r="K887" s="237">
        <v>930</v>
      </c>
      <c r="L887" s="237"/>
      <c r="M887" s="237"/>
      <c r="N887" s="239">
        <v>310.425</v>
      </c>
      <c r="O887" s="239"/>
      <c r="P887" s="237">
        <f t="shared" si="317"/>
        <v>310.425</v>
      </c>
      <c r="Q887" s="505">
        <v>310.425</v>
      </c>
      <c r="R887" s="307"/>
      <c r="S887" s="307"/>
      <c r="T887" s="307"/>
      <c r="U887" s="505"/>
      <c r="V887" s="240"/>
      <c r="W887" s="240"/>
      <c r="X887" s="240"/>
      <c r="Y887" s="240"/>
      <c r="Z887" s="308"/>
      <c r="AA887" s="308"/>
      <c r="AB887" s="241"/>
      <c r="AC887" s="242"/>
      <c r="AD887" s="259"/>
      <c r="AE887" s="308"/>
      <c r="AF887" s="308"/>
      <c r="AG887" s="240"/>
      <c r="AH887" s="240"/>
      <c r="AI887" s="240"/>
      <c r="AJ887" s="240"/>
      <c r="AK887" s="308"/>
      <c r="AL887" s="244"/>
      <c r="AM887" s="236"/>
      <c r="AN887" s="378"/>
    </row>
    <row r="888" spans="1:40" s="506" customFormat="1" ht="19.5" customHeight="1">
      <c r="A888" s="263"/>
      <c r="B888" s="478" t="s">
        <v>770</v>
      </c>
      <c r="C888" s="502" t="s">
        <v>1355</v>
      </c>
      <c r="D888" s="502"/>
      <c r="E888" s="503"/>
      <c r="F888" s="504"/>
      <c r="G888" s="504"/>
      <c r="H888" s="504"/>
      <c r="I888" s="237">
        <v>1080</v>
      </c>
      <c r="J888" s="237"/>
      <c r="K888" s="237">
        <v>1080</v>
      </c>
      <c r="L888" s="237"/>
      <c r="M888" s="237"/>
      <c r="N888" s="239">
        <v>1080</v>
      </c>
      <c r="O888" s="239"/>
      <c r="P888" s="237">
        <f t="shared" si="317"/>
        <v>1080</v>
      </c>
      <c r="Q888" s="505">
        <v>1080</v>
      </c>
      <c r="R888" s="307"/>
      <c r="S888" s="307"/>
      <c r="T888" s="307"/>
      <c r="U888" s="505"/>
      <c r="V888" s="240"/>
      <c r="W888" s="240"/>
      <c r="X888" s="240"/>
      <c r="Y888" s="240"/>
      <c r="Z888" s="308"/>
      <c r="AA888" s="308"/>
      <c r="AB888" s="241"/>
      <c r="AC888" s="242"/>
      <c r="AD888" s="259"/>
      <c r="AE888" s="308"/>
      <c r="AF888" s="308"/>
      <c r="AG888" s="240"/>
      <c r="AH888" s="240"/>
      <c r="AI888" s="240"/>
      <c r="AJ888" s="240"/>
      <c r="AK888" s="308"/>
      <c r="AL888" s="244"/>
      <c r="AM888" s="236"/>
      <c r="AN888" s="378"/>
    </row>
    <row r="889" spans="1:40" s="506" customFormat="1" ht="19.5" customHeight="1">
      <c r="A889" s="263"/>
      <c r="B889" s="478" t="s">
        <v>771</v>
      </c>
      <c r="C889" s="502" t="s">
        <v>1267</v>
      </c>
      <c r="D889" s="502"/>
      <c r="E889" s="503"/>
      <c r="F889" s="504"/>
      <c r="G889" s="504"/>
      <c r="H889" s="504"/>
      <c r="I889" s="237">
        <v>530</v>
      </c>
      <c r="J889" s="237"/>
      <c r="K889" s="237">
        <v>530</v>
      </c>
      <c r="L889" s="237"/>
      <c r="M889" s="237"/>
      <c r="N889" s="237">
        <v>530</v>
      </c>
      <c r="O889" s="237"/>
      <c r="P889" s="237">
        <f t="shared" si="317"/>
        <v>530</v>
      </c>
      <c r="Q889" s="237">
        <v>530</v>
      </c>
      <c r="R889" s="237"/>
      <c r="S889" s="237"/>
      <c r="T889" s="237"/>
      <c r="U889" s="237"/>
      <c r="V889" s="240"/>
      <c r="W889" s="240"/>
      <c r="X889" s="240"/>
      <c r="Y889" s="240"/>
      <c r="Z889" s="308"/>
      <c r="AA889" s="308"/>
      <c r="AB889" s="241"/>
      <c r="AC889" s="242"/>
      <c r="AD889" s="259"/>
      <c r="AE889" s="308"/>
      <c r="AF889" s="308"/>
      <c r="AG889" s="240"/>
      <c r="AH889" s="240"/>
      <c r="AI889" s="240"/>
      <c r="AJ889" s="240"/>
      <c r="AK889" s="308"/>
      <c r="AL889" s="244"/>
      <c r="AM889" s="236"/>
      <c r="AN889" s="378"/>
    </row>
    <row r="890" spans="1:40" s="506" customFormat="1" ht="19.5" customHeight="1">
      <c r="A890" s="275">
        <v>5</v>
      </c>
      <c r="B890" s="498" t="s">
        <v>772</v>
      </c>
      <c r="C890" s="508"/>
      <c r="D890" s="508"/>
      <c r="E890" s="509"/>
      <c r="F890" s="510"/>
      <c r="G890" s="510"/>
      <c r="H890" s="510"/>
      <c r="I890" s="282">
        <f>SUM(I891)</f>
        <v>11.37</v>
      </c>
      <c r="J890" s="282">
        <f aca="true" t="shared" si="318" ref="J890:U890">SUM(J891)</f>
        <v>0</v>
      </c>
      <c r="K890" s="282">
        <f t="shared" si="318"/>
        <v>11.37</v>
      </c>
      <c r="L890" s="282">
        <f t="shared" si="318"/>
        <v>0</v>
      </c>
      <c r="M890" s="282">
        <f t="shared" si="318"/>
        <v>0</v>
      </c>
      <c r="N890" s="282">
        <f t="shared" si="318"/>
        <v>11.37</v>
      </c>
      <c r="O890" s="282">
        <f t="shared" si="318"/>
        <v>0</v>
      </c>
      <c r="P890" s="282">
        <f t="shared" si="318"/>
        <v>11.37</v>
      </c>
      <c r="Q890" s="282">
        <f t="shared" si="318"/>
        <v>0</v>
      </c>
      <c r="R890" s="282">
        <f t="shared" si="318"/>
        <v>0</v>
      </c>
      <c r="S890" s="282">
        <f t="shared" si="318"/>
        <v>0</v>
      </c>
      <c r="T890" s="282">
        <f t="shared" si="318"/>
        <v>0</v>
      </c>
      <c r="U890" s="282">
        <f t="shared" si="318"/>
        <v>0</v>
      </c>
      <c r="V890" s="240"/>
      <c r="W890" s="240"/>
      <c r="X890" s="240"/>
      <c r="Y890" s="240"/>
      <c r="Z890" s="308"/>
      <c r="AA890" s="308"/>
      <c r="AB890" s="241"/>
      <c r="AC890" s="242"/>
      <c r="AD890" s="259"/>
      <c r="AE890" s="308"/>
      <c r="AF890" s="308"/>
      <c r="AG890" s="240"/>
      <c r="AH890" s="240"/>
      <c r="AI890" s="240"/>
      <c r="AJ890" s="240"/>
      <c r="AK890" s="308"/>
      <c r="AL890" s="244"/>
      <c r="AM890" s="236"/>
      <c r="AN890" s="378"/>
    </row>
    <row r="891" spans="1:40" s="506" customFormat="1" ht="19.5" customHeight="1">
      <c r="A891" s="263"/>
      <c r="B891" s="478" t="s">
        <v>773</v>
      </c>
      <c r="C891" s="502" t="s">
        <v>1608</v>
      </c>
      <c r="D891" s="502"/>
      <c r="E891" s="503"/>
      <c r="F891" s="504">
        <v>500</v>
      </c>
      <c r="G891" s="504">
        <v>500</v>
      </c>
      <c r="H891" s="504">
        <v>500</v>
      </c>
      <c r="I891" s="237">
        <f>SUM(K891,M891)</f>
        <v>11.37</v>
      </c>
      <c r="J891" s="237"/>
      <c r="K891" s="237">
        <v>11.37</v>
      </c>
      <c r="L891" s="237"/>
      <c r="M891" s="237"/>
      <c r="N891" s="237">
        <f>SUM(P891,U891)</f>
        <v>11.37</v>
      </c>
      <c r="O891" s="237"/>
      <c r="P891" s="237">
        <v>11.37</v>
      </c>
      <c r="Q891" s="237"/>
      <c r="R891" s="237"/>
      <c r="S891" s="237"/>
      <c r="T891" s="237"/>
      <c r="U891" s="237"/>
      <c r="V891" s="240"/>
      <c r="W891" s="240"/>
      <c r="X891" s="240"/>
      <c r="Y891" s="240"/>
      <c r="Z891" s="308"/>
      <c r="AA891" s="308"/>
      <c r="AB891" s="241"/>
      <c r="AC891" s="242"/>
      <c r="AD891" s="259"/>
      <c r="AE891" s="308"/>
      <c r="AF891" s="308"/>
      <c r="AG891" s="240"/>
      <c r="AH891" s="240"/>
      <c r="AI891" s="240"/>
      <c r="AJ891" s="240"/>
      <c r="AK891" s="308"/>
      <c r="AL891" s="244"/>
      <c r="AM891" s="236"/>
      <c r="AN891" s="378"/>
    </row>
    <row r="892" spans="1:148" s="501" customFormat="1" ht="19.5" customHeight="1">
      <c r="A892" s="216" t="s">
        <v>774</v>
      </c>
      <c r="B892" s="217" t="s">
        <v>775</v>
      </c>
      <c r="C892" s="565"/>
      <c r="D892" s="566"/>
      <c r="E892" s="567"/>
      <c r="F892" s="221"/>
      <c r="G892" s="221"/>
      <c r="H892" s="221"/>
      <c r="I892" s="222">
        <f>SUM(I893,I900)</f>
        <v>45000</v>
      </c>
      <c r="J892" s="222">
        <f aca="true" t="shared" si="319" ref="J892:U892">SUM(J893,J900)</f>
        <v>0</v>
      </c>
      <c r="K892" s="222">
        <f t="shared" si="319"/>
        <v>45000</v>
      </c>
      <c r="L892" s="222">
        <f t="shared" si="319"/>
        <v>0</v>
      </c>
      <c r="M892" s="222">
        <f t="shared" si="319"/>
        <v>0</v>
      </c>
      <c r="N892" s="222">
        <f t="shared" si="319"/>
        <v>51371.723999999995</v>
      </c>
      <c r="O892" s="222">
        <f t="shared" si="319"/>
        <v>0</v>
      </c>
      <c r="P892" s="222">
        <f t="shared" si="319"/>
        <v>51371.723999999995</v>
      </c>
      <c r="Q892" s="222">
        <f t="shared" si="319"/>
        <v>40112.14</v>
      </c>
      <c r="R892" s="222">
        <f t="shared" si="319"/>
        <v>1967.604</v>
      </c>
      <c r="S892" s="222">
        <f t="shared" si="319"/>
        <v>0</v>
      </c>
      <c r="T892" s="222">
        <f t="shared" si="319"/>
        <v>0</v>
      </c>
      <c r="U892" s="222">
        <f t="shared" si="319"/>
        <v>0</v>
      </c>
      <c r="V892" s="223" t="e">
        <f>#REF!+#REF!</f>
        <v>#REF!</v>
      </c>
      <c r="W892" s="223" t="e">
        <f>#REF!+#REF!</f>
        <v>#REF!</v>
      </c>
      <c r="X892" s="223" t="e">
        <f>#REF!+#REF!</f>
        <v>#REF!</v>
      </c>
      <c r="Y892" s="223" t="e">
        <f>#REF!+#REF!</f>
        <v>#REF!</v>
      </c>
      <c r="Z892" s="223" t="e">
        <f>#REF!+#REF!</f>
        <v>#REF!</v>
      </c>
      <c r="AA892" s="223" t="e">
        <f>#REF!+#REF!</f>
        <v>#REF!</v>
      </c>
      <c r="AB892" s="223" t="e">
        <f>#REF!+#REF!</f>
        <v>#REF!</v>
      </c>
      <c r="AC892" s="223" t="e">
        <f>#REF!+#REF!</f>
        <v>#REF!</v>
      </c>
      <c r="AD892" s="223" t="e">
        <f>#REF!+#REF!</f>
        <v>#REF!</v>
      </c>
      <c r="AE892" s="223" t="e">
        <f>#REF!+#REF!</f>
        <v>#REF!</v>
      </c>
      <c r="AF892" s="223" t="e">
        <f>#REF!+#REF!</f>
        <v>#REF!</v>
      </c>
      <c r="AG892" s="223" t="e">
        <f>#REF!+#REF!</f>
        <v>#REF!</v>
      </c>
      <c r="AH892" s="223" t="e">
        <f>#REF!+#REF!</f>
        <v>#REF!</v>
      </c>
      <c r="AI892" s="223" t="e">
        <f>#REF!+#REF!</f>
        <v>#REF!</v>
      </c>
      <c r="AJ892" s="223" t="e">
        <f>#REF!+#REF!</f>
        <v>#REF!</v>
      </c>
      <c r="AK892" s="223" t="e">
        <f>#REF!+#REF!</f>
        <v>#REF!</v>
      </c>
      <c r="AL892" s="223" t="e">
        <f>#REF!+#REF!</f>
        <v>#REF!</v>
      </c>
      <c r="AM892" s="223" t="e">
        <f>#REF!+#REF!</f>
        <v>#REF!</v>
      </c>
      <c r="AN892" s="196"/>
      <c r="AO892" s="196"/>
      <c r="AP892" s="196"/>
      <c r="AQ892" s="196"/>
      <c r="AR892" s="196"/>
      <c r="AS892" s="196"/>
      <c r="AT892" s="196"/>
      <c r="AU892" s="196"/>
      <c r="AV892" s="196"/>
      <c r="AW892" s="196"/>
      <c r="AX892" s="196"/>
      <c r="AY892" s="196"/>
      <c r="AZ892" s="196"/>
      <c r="BA892" s="196"/>
      <c r="BB892" s="196"/>
      <c r="BC892" s="196"/>
      <c r="BD892" s="196"/>
      <c r="BE892" s="196"/>
      <c r="BF892" s="196"/>
      <c r="BG892" s="196"/>
      <c r="BH892" s="196"/>
      <c r="BI892" s="196"/>
      <c r="BJ892" s="196"/>
      <c r="BK892" s="196"/>
      <c r="BL892" s="196"/>
      <c r="BM892" s="196"/>
      <c r="BN892" s="196"/>
      <c r="BO892" s="196"/>
      <c r="BP892" s="196"/>
      <c r="BQ892" s="196"/>
      <c r="BR892" s="196"/>
      <c r="BS892" s="196"/>
      <c r="BT892" s="196"/>
      <c r="BU892" s="196"/>
      <c r="BV892" s="196"/>
      <c r="BW892" s="196"/>
      <c r="BX892" s="196"/>
      <c r="BY892" s="196"/>
      <c r="BZ892" s="196"/>
      <c r="CA892" s="196"/>
      <c r="CB892" s="196"/>
      <c r="CC892" s="196"/>
      <c r="CD892" s="196"/>
      <c r="CE892" s="196"/>
      <c r="CF892" s="196"/>
      <c r="CG892" s="196"/>
      <c r="CH892" s="196"/>
      <c r="CI892" s="196"/>
      <c r="CJ892" s="196"/>
      <c r="CK892" s="196"/>
      <c r="CL892" s="196"/>
      <c r="CM892" s="196"/>
      <c r="CN892" s="196"/>
      <c r="CO892" s="196"/>
      <c r="CP892" s="196"/>
      <c r="CQ892" s="196"/>
      <c r="CR892" s="196"/>
      <c r="CS892" s="196"/>
      <c r="CT892" s="196"/>
      <c r="CU892" s="196"/>
      <c r="CV892" s="196"/>
      <c r="CW892" s="196"/>
      <c r="CX892" s="196"/>
      <c r="CY892" s="196"/>
      <c r="CZ892" s="196"/>
      <c r="DA892" s="196"/>
      <c r="DB892" s="196"/>
      <c r="DC892" s="196"/>
      <c r="DD892" s="196"/>
      <c r="DE892" s="196"/>
      <c r="DF892" s="196"/>
      <c r="DG892" s="196"/>
      <c r="DH892" s="196"/>
      <c r="DI892" s="196"/>
      <c r="DJ892" s="196"/>
      <c r="DK892" s="196"/>
      <c r="DL892" s="196"/>
      <c r="DM892" s="196"/>
      <c r="DN892" s="196"/>
      <c r="DO892" s="196"/>
      <c r="DP892" s="196"/>
      <c r="DQ892" s="196"/>
      <c r="DR892" s="196"/>
      <c r="DS892" s="196"/>
      <c r="DT892" s="196"/>
      <c r="DU892" s="196"/>
      <c r="DV892" s="196"/>
      <c r="DW892" s="196"/>
      <c r="DX892" s="196"/>
      <c r="DY892" s="196"/>
      <c r="DZ892" s="196"/>
      <c r="EA892" s="196"/>
      <c r="EB892" s="196"/>
      <c r="EC892" s="196"/>
      <c r="ED892" s="196"/>
      <c r="EE892" s="196"/>
      <c r="EF892" s="196"/>
      <c r="EG892" s="196"/>
      <c r="EH892" s="196"/>
      <c r="EI892" s="196"/>
      <c r="EJ892" s="196"/>
      <c r="EK892" s="196"/>
      <c r="EL892" s="196"/>
      <c r="EM892" s="196"/>
      <c r="EN892" s="196"/>
      <c r="EO892" s="196"/>
      <c r="EP892" s="196"/>
      <c r="EQ892" s="196"/>
      <c r="ER892" s="196"/>
    </row>
    <row r="893" spans="1:148" s="501" customFormat="1" ht="19.5" customHeight="1">
      <c r="A893" s="216">
        <v>1</v>
      </c>
      <c r="B893" s="217" t="s">
        <v>776</v>
      </c>
      <c r="C893" s="565"/>
      <c r="D893" s="566"/>
      <c r="E893" s="567"/>
      <c r="F893" s="221"/>
      <c r="G893" s="221"/>
      <c r="H893" s="221"/>
      <c r="I893" s="222">
        <f>SUM(I894:I898)</f>
        <v>30000</v>
      </c>
      <c r="J893" s="222">
        <f aca="true" t="shared" si="320" ref="J893:U893">SUM(J894:J898)</f>
        <v>0</v>
      </c>
      <c r="K893" s="222">
        <f t="shared" si="320"/>
        <v>30000</v>
      </c>
      <c r="L893" s="222">
        <f t="shared" si="320"/>
        <v>0</v>
      </c>
      <c r="M893" s="222">
        <f t="shared" si="320"/>
        <v>0</v>
      </c>
      <c r="N893" s="222">
        <f>SUM(N894:N899)</f>
        <v>37110.6859</v>
      </c>
      <c r="O893" s="222">
        <f>SUM(O894:O899)</f>
        <v>0</v>
      </c>
      <c r="P893" s="222">
        <f>SUM(P894:P899)</f>
        <v>37110.6859</v>
      </c>
      <c r="Q893" s="222">
        <f t="shared" si="320"/>
        <v>25977.3419</v>
      </c>
      <c r="R893" s="222">
        <f t="shared" si="320"/>
        <v>1967.604</v>
      </c>
      <c r="S893" s="222">
        <f t="shared" si="320"/>
        <v>0</v>
      </c>
      <c r="T893" s="222">
        <f t="shared" si="320"/>
        <v>0</v>
      </c>
      <c r="U893" s="222">
        <f t="shared" si="320"/>
        <v>0</v>
      </c>
      <c r="V893" s="223"/>
      <c r="W893" s="223"/>
      <c r="X893" s="223"/>
      <c r="Y893" s="223"/>
      <c r="Z893" s="223"/>
      <c r="AA893" s="223"/>
      <c r="AB893" s="223"/>
      <c r="AC893" s="223"/>
      <c r="AD893" s="223"/>
      <c r="AE893" s="223"/>
      <c r="AF893" s="223"/>
      <c r="AG893" s="223"/>
      <c r="AH893" s="223"/>
      <c r="AI893" s="223"/>
      <c r="AJ893" s="223"/>
      <c r="AK893" s="223"/>
      <c r="AL893" s="223"/>
      <c r="AM893" s="223"/>
      <c r="AN893" s="196"/>
      <c r="AO893" s="196"/>
      <c r="AP893" s="196"/>
      <c r="AQ893" s="196"/>
      <c r="AR893" s="196"/>
      <c r="AS893" s="196"/>
      <c r="AT893" s="196"/>
      <c r="AU893" s="196"/>
      <c r="AV893" s="196"/>
      <c r="AW893" s="196"/>
      <c r="AX893" s="196"/>
      <c r="AY893" s="196"/>
      <c r="AZ893" s="196"/>
      <c r="BA893" s="196"/>
      <c r="BB893" s="196"/>
      <c r="BC893" s="196"/>
      <c r="BD893" s="196"/>
      <c r="BE893" s="196"/>
      <c r="BF893" s="196"/>
      <c r="BG893" s="196"/>
      <c r="BH893" s="196"/>
      <c r="BI893" s="196"/>
      <c r="BJ893" s="196"/>
      <c r="BK893" s="196"/>
      <c r="BL893" s="196"/>
      <c r="BM893" s="196"/>
      <c r="BN893" s="196"/>
      <c r="BO893" s="196"/>
      <c r="BP893" s="196"/>
      <c r="BQ893" s="196"/>
      <c r="BR893" s="196"/>
      <c r="BS893" s="196"/>
      <c r="BT893" s="196"/>
      <c r="BU893" s="196"/>
      <c r="BV893" s="196"/>
      <c r="BW893" s="196"/>
      <c r="BX893" s="196"/>
      <c r="BY893" s="196"/>
      <c r="BZ893" s="196"/>
      <c r="CA893" s="196"/>
      <c r="CB893" s="196"/>
      <c r="CC893" s="196"/>
      <c r="CD893" s="196"/>
      <c r="CE893" s="196"/>
      <c r="CF893" s="196"/>
      <c r="CG893" s="196"/>
      <c r="CH893" s="196"/>
      <c r="CI893" s="196"/>
      <c r="CJ893" s="196"/>
      <c r="CK893" s="196"/>
      <c r="CL893" s="196"/>
      <c r="CM893" s="196"/>
      <c r="CN893" s="196"/>
      <c r="CO893" s="196"/>
      <c r="CP893" s="196"/>
      <c r="CQ893" s="196"/>
      <c r="CR893" s="196"/>
      <c r="CS893" s="196"/>
      <c r="CT893" s="196"/>
      <c r="CU893" s="196"/>
      <c r="CV893" s="196"/>
      <c r="CW893" s="196"/>
      <c r="CX893" s="196"/>
      <c r="CY893" s="196"/>
      <c r="CZ893" s="196"/>
      <c r="DA893" s="196"/>
      <c r="DB893" s="196"/>
      <c r="DC893" s="196"/>
      <c r="DD893" s="196"/>
      <c r="DE893" s="196"/>
      <c r="DF893" s="196"/>
      <c r="DG893" s="196"/>
      <c r="DH893" s="196"/>
      <c r="DI893" s="196"/>
      <c r="DJ893" s="196"/>
      <c r="DK893" s="196"/>
      <c r="DL893" s="196"/>
      <c r="DM893" s="196"/>
      <c r="DN893" s="196"/>
      <c r="DO893" s="196"/>
      <c r="DP893" s="196"/>
      <c r="DQ893" s="196"/>
      <c r="DR893" s="196"/>
      <c r="DS893" s="196"/>
      <c r="DT893" s="196"/>
      <c r="DU893" s="196"/>
      <c r="DV893" s="196"/>
      <c r="DW893" s="196"/>
      <c r="DX893" s="196"/>
      <c r="DY893" s="196"/>
      <c r="DZ893" s="196"/>
      <c r="EA893" s="196"/>
      <c r="EB893" s="196"/>
      <c r="EC893" s="196"/>
      <c r="ED893" s="196"/>
      <c r="EE893" s="196"/>
      <c r="EF893" s="196"/>
      <c r="EG893" s="196"/>
      <c r="EH893" s="196"/>
      <c r="EI893" s="196"/>
      <c r="EJ893" s="196"/>
      <c r="EK893" s="196"/>
      <c r="EL893" s="196"/>
      <c r="EM893" s="196"/>
      <c r="EN893" s="196"/>
      <c r="EO893" s="196"/>
      <c r="EP893" s="196"/>
      <c r="EQ893" s="196"/>
      <c r="ER893" s="196"/>
    </row>
    <row r="894" spans="1:148" s="568" customFormat="1" ht="19.5" customHeight="1">
      <c r="A894" s="232"/>
      <c r="B894" s="231" t="s">
        <v>777</v>
      </c>
      <c r="C894" s="250" t="s">
        <v>1643</v>
      </c>
      <c r="D894" s="319"/>
      <c r="E894" s="300"/>
      <c r="F894" s="235"/>
      <c r="G894" s="236"/>
      <c r="H894" s="318"/>
      <c r="I894" s="237">
        <f>K894+M894</f>
        <v>30000</v>
      </c>
      <c r="J894" s="477"/>
      <c r="K894" s="237">
        <v>30000</v>
      </c>
      <c r="L894" s="237"/>
      <c r="M894" s="237"/>
      <c r="N894" s="239">
        <f>SUM(P894,U894)</f>
        <v>25977.3419</v>
      </c>
      <c r="O894" s="239"/>
      <c r="P894" s="237">
        <f>SUM(Q894:S894)</f>
        <v>25977.3419</v>
      </c>
      <c r="Q894" s="239">
        <v>25977.3419</v>
      </c>
      <c r="R894" s="239">
        <v>0</v>
      </c>
      <c r="S894" s="239">
        <v>0</v>
      </c>
      <c r="T894" s="301"/>
      <c r="U894" s="235"/>
      <c r="V894" s="240">
        <f>W894+X894</f>
        <v>0</v>
      </c>
      <c r="W894" s="240"/>
      <c r="X894" s="240"/>
      <c r="Y894" s="240">
        <v>30000000000</v>
      </c>
      <c r="Z894" s="302"/>
      <c r="AA894" s="302"/>
      <c r="AB894" s="241">
        <f>Y894+Z894-AA894+X894</f>
        <v>30000000000</v>
      </c>
      <c r="AC894" s="242">
        <f>AD894+AE894+AF894</f>
        <v>25977341900</v>
      </c>
      <c r="AD894" s="312">
        <v>25977341900</v>
      </c>
      <c r="AE894" s="302"/>
      <c r="AF894" s="302"/>
      <c r="AG894" s="240"/>
      <c r="AH894" s="240">
        <f>AI894+AL894</f>
        <v>4022658100</v>
      </c>
      <c r="AI894" s="240">
        <f>SUM(AJ894:AK894)</f>
        <v>471300000</v>
      </c>
      <c r="AJ894" s="240">
        <f>W894-AF894-AG894</f>
        <v>0</v>
      </c>
      <c r="AK894" s="406">
        <v>471300000</v>
      </c>
      <c r="AL894" s="244">
        <v>3551358100</v>
      </c>
      <c r="AM894" s="236">
        <f>AB894-AD894-AE894-AK894-AL894</f>
        <v>0</v>
      </c>
      <c r="AN894" s="472" t="s">
        <v>778</v>
      </c>
      <c r="AO894" s="321"/>
      <c r="AP894" s="321"/>
      <c r="AQ894" s="321"/>
      <c r="AR894" s="321"/>
      <c r="AS894" s="321"/>
      <c r="AT894" s="321"/>
      <c r="AU894" s="321"/>
      <c r="AV894" s="321"/>
      <c r="AW894" s="321"/>
      <c r="AX894" s="321"/>
      <c r="AY894" s="321"/>
      <c r="AZ894" s="321"/>
      <c r="BA894" s="321"/>
      <c r="BB894" s="321"/>
      <c r="BC894" s="321"/>
      <c r="BD894" s="321"/>
      <c r="BE894" s="321"/>
      <c r="BF894" s="321"/>
      <c r="BG894" s="321"/>
      <c r="BH894" s="321"/>
      <c r="BI894" s="321"/>
      <c r="BJ894" s="321"/>
      <c r="BK894" s="321"/>
      <c r="BL894" s="321"/>
      <c r="BM894" s="321"/>
      <c r="BN894" s="321"/>
      <c r="BO894" s="321"/>
      <c r="BP894" s="321"/>
      <c r="BQ894" s="321"/>
      <c r="BR894" s="321"/>
      <c r="BS894" s="321"/>
      <c r="BT894" s="321"/>
      <c r="BU894" s="321"/>
      <c r="BV894" s="321"/>
      <c r="BW894" s="321"/>
      <c r="BX894" s="321"/>
      <c r="BY894" s="321"/>
      <c r="BZ894" s="321"/>
      <c r="CA894" s="321"/>
      <c r="CB894" s="321"/>
      <c r="CC894" s="321"/>
      <c r="CD894" s="321"/>
      <c r="CE894" s="321"/>
      <c r="CF894" s="321"/>
      <c r="CG894" s="321"/>
      <c r="CH894" s="321"/>
      <c r="CI894" s="321"/>
      <c r="CJ894" s="321"/>
      <c r="CK894" s="321"/>
      <c r="CL894" s="321"/>
      <c r="CM894" s="321"/>
      <c r="CN894" s="321"/>
      <c r="CO894" s="321"/>
      <c r="CP894" s="321"/>
      <c r="CQ894" s="321"/>
      <c r="CR894" s="321"/>
      <c r="CS894" s="321"/>
      <c r="CT894" s="321"/>
      <c r="CU894" s="321"/>
      <c r="CV894" s="321"/>
      <c r="CW894" s="321"/>
      <c r="CX894" s="321"/>
      <c r="CY894" s="321"/>
      <c r="CZ894" s="321"/>
      <c r="DA894" s="321"/>
      <c r="DB894" s="321"/>
      <c r="DC894" s="321"/>
      <c r="DD894" s="321"/>
      <c r="DE894" s="321"/>
      <c r="DF894" s="321"/>
      <c r="DG894" s="321"/>
      <c r="DH894" s="321"/>
      <c r="DI894" s="321"/>
      <c r="DJ894" s="321"/>
      <c r="DK894" s="321"/>
      <c r="DL894" s="321"/>
      <c r="DM894" s="321"/>
      <c r="DN894" s="321"/>
      <c r="DO894" s="321"/>
      <c r="DP894" s="321"/>
      <c r="DQ894" s="321"/>
      <c r="DR894" s="321"/>
      <c r="DS894" s="321"/>
      <c r="DT894" s="321"/>
      <c r="DU894" s="321"/>
      <c r="DV894" s="321"/>
      <c r="DW894" s="321"/>
      <c r="DX894" s="321"/>
      <c r="DY894" s="321"/>
      <c r="DZ894" s="321"/>
      <c r="EA894" s="321"/>
      <c r="EB894" s="321"/>
      <c r="EC894" s="321"/>
      <c r="ED894" s="321"/>
      <c r="EE894" s="321"/>
      <c r="EF894" s="321"/>
      <c r="EG894" s="321"/>
      <c r="EH894" s="321"/>
      <c r="EI894" s="321"/>
      <c r="EJ894" s="321"/>
      <c r="EK894" s="321"/>
      <c r="EL894" s="321"/>
      <c r="EM894" s="321"/>
      <c r="EN894" s="321"/>
      <c r="EO894" s="321"/>
      <c r="EP894" s="321"/>
      <c r="EQ894" s="321"/>
      <c r="ER894" s="321"/>
    </row>
    <row r="895" spans="1:148" s="568" customFormat="1" ht="19.5" customHeight="1">
      <c r="A895" s="232"/>
      <c r="B895" s="231" t="s">
        <v>779</v>
      </c>
      <c r="C895" s="250" t="s">
        <v>1634</v>
      </c>
      <c r="D895" s="319"/>
      <c r="E895" s="300"/>
      <c r="F895" s="235"/>
      <c r="G895" s="236"/>
      <c r="H895" s="318"/>
      <c r="I895" s="237"/>
      <c r="J895" s="477"/>
      <c r="K895" s="237"/>
      <c r="L895" s="237"/>
      <c r="M895" s="237"/>
      <c r="N895" s="239">
        <f aca="true" t="shared" si="321" ref="N895:N910">SUM(P895,U895)</f>
        <v>1967.604</v>
      </c>
      <c r="O895" s="239"/>
      <c r="P895" s="237">
        <f>SUM(Q895:S895)</f>
        <v>1967.604</v>
      </c>
      <c r="Q895" s="239">
        <v>0</v>
      </c>
      <c r="R895" s="239">
        <v>1967.604</v>
      </c>
      <c r="S895" s="239">
        <v>0</v>
      </c>
      <c r="T895" s="301"/>
      <c r="U895" s="235"/>
      <c r="V895" s="240">
        <f>W895+X895</f>
        <v>2031978000</v>
      </c>
      <c r="W895" s="240"/>
      <c r="X895" s="240">
        <v>2031978000</v>
      </c>
      <c r="Y895" s="240"/>
      <c r="Z895" s="302"/>
      <c r="AA895" s="302"/>
      <c r="AB895" s="241">
        <f>Y895+Z895-AA895+X895</f>
        <v>2031978000</v>
      </c>
      <c r="AC895" s="242">
        <f>AD895+AE895+AF895</f>
        <v>1967604000</v>
      </c>
      <c r="AD895" s="312"/>
      <c r="AE895" s="302">
        <v>1967604000</v>
      </c>
      <c r="AF895" s="302"/>
      <c r="AG895" s="240"/>
      <c r="AH895" s="240">
        <f>AI895+AL895</f>
        <v>0</v>
      </c>
      <c r="AI895" s="240">
        <f>SUM(AJ895:AK895)</f>
        <v>0</v>
      </c>
      <c r="AJ895" s="240">
        <f>W895-AF895-AG895</f>
        <v>0</v>
      </c>
      <c r="AK895" s="406"/>
      <c r="AL895" s="244"/>
      <c r="AM895" s="236">
        <f>AB895-AD895-AE895-AK895-AL895</f>
        <v>64374000</v>
      </c>
      <c r="AN895" s="472" t="s">
        <v>778</v>
      </c>
      <c r="AO895" s="321"/>
      <c r="AP895" s="321"/>
      <c r="AQ895" s="321"/>
      <c r="AR895" s="321"/>
      <c r="AS895" s="321"/>
      <c r="AT895" s="321"/>
      <c r="AU895" s="321"/>
      <c r="AV895" s="321"/>
      <c r="AW895" s="321"/>
      <c r="AX895" s="321"/>
      <c r="AY895" s="321"/>
      <c r="AZ895" s="321"/>
      <c r="BA895" s="321"/>
      <c r="BB895" s="321"/>
      <c r="BC895" s="321"/>
      <c r="BD895" s="321"/>
      <c r="BE895" s="321"/>
      <c r="BF895" s="321"/>
      <c r="BG895" s="321"/>
      <c r="BH895" s="321"/>
      <c r="BI895" s="321"/>
      <c r="BJ895" s="321"/>
      <c r="BK895" s="321"/>
      <c r="BL895" s="321"/>
      <c r="BM895" s="321"/>
      <c r="BN895" s="321"/>
      <c r="BO895" s="321"/>
      <c r="BP895" s="321"/>
      <c r="BQ895" s="321"/>
      <c r="BR895" s="321"/>
      <c r="BS895" s="321"/>
      <c r="BT895" s="321"/>
      <c r="BU895" s="321"/>
      <c r="BV895" s="321"/>
      <c r="BW895" s="321"/>
      <c r="BX895" s="321"/>
      <c r="BY895" s="321"/>
      <c r="BZ895" s="321"/>
      <c r="CA895" s="321"/>
      <c r="CB895" s="321"/>
      <c r="CC895" s="321"/>
      <c r="CD895" s="321"/>
      <c r="CE895" s="321"/>
      <c r="CF895" s="321"/>
      <c r="CG895" s="321"/>
      <c r="CH895" s="321"/>
      <c r="CI895" s="321"/>
      <c r="CJ895" s="321"/>
      <c r="CK895" s="321"/>
      <c r="CL895" s="321"/>
      <c r="CM895" s="321"/>
      <c r="CN895" s="321"/>
      <c r="CO895" s="321"/>
      <c r="CP895" s="321"/>
      <c r="CQ895" s="321"/>
      <c r="CR895" s="321"/>
      <c r="CS895" s="321"/>
      <c r="CT895" s="321"/>
      <c r="CU895" s="321"/>
      <c r="CV895" s="321"/>
      <c r="CW895" s="321"/>
      <c r="CX895" s="321"/>
      <c r="CY895" s="321"/>
      <c r="CZ895" s="321"/>
      <c r="DA895" s="321"/>
      <c r="DB895" s="321"/>
      <c r="DC895" s="321"/>
      <c r="DD895" s="321"/>
      <c r="DE895" s="321"/>
      <c r="DF895" s="321"/>
      <c r="DG895" s="321"/>
      <c r="DH895" s="321"/>
      <c r="DI895" s="321"/>
      <c r="DJ895" s="321"/>
      <c r="DK895" s="321"/>
      <c r="DL895" s="321"/>
      <c r="DM895" s="321"/>
      <c r="DN895" s="321"/>
      <c r="DO895" s="321"/>
      <c r="DP895" s="321"/>
      <c r="DQ895" s="321"/>
      <c r="DR895" s="321"/>
      <c r="DS895" s="321"/>
      <c r="DT895" s="321"/>
      <c r="DU895" s="321"/>
      <c r="DV895" s="321"/>
      <c r="DW895" s="321"/>
      <c r="DX895" s="321"/>
      <c r="DY895" s="321"/>
      <c r="DZ895" s="321"/>
      <c r="EA895" s="321"/>
      <c r="EB895" s="321"/>
      <c r="EC895" s="321"/>
      <c r="ED895" s="321"/>
      <c r="EE895" s="321"/>
      <c r="EF895" s="321"/>
      <c r="EG895" s="321"/>
      <c r="EH895" s="321"/>
      <c r="EI895" s="321"/>
      <c r="EJ895" s="321"/>
      <c r="EK895" s="321"/>
      <c r="EL895" s="321"/>
      <c r="EM895" s="321"/>
      <c r="EN895" s="321"/>
      <c r="EO895" s="321"/>
      <c r="EP895" s="321"/>
      <c r="EQ895" s="321"/>
      <c r="ER895" s="321"/>
    </row>
    <row r="896" spans="1:40" s="321" customFormat="1" ht="19.5" customHeight="1">
      <c r="A896" s="232"/>
      <c r="B896" s="231" t="s">
        <v>780</v>
      </c>
      <c r="C896" s="250" t="s">
        <v>1371</v>
      </c>
      <c r="D896" s="319"/>
      <c r="E896" s="300"/>
      <c r="F896" s="235"/>
      <c r="G896" s="236"/>
      <c r="H896" s="318"/>
      <c r="I896" s="237"/>
      <c r="J896" s="477"/>
      <c r="K896" s="237"/>
      <c r="L896" s="237"/>
      <c r="M896" s="237"/>
      <c r="N896" s="239">
        <f>SUM(P896,U896)</f>
        <v>2991.6</v>
      </c>
      <c r="O896" s="239"/>
      <c r="P896" s="237">
        <v>2991.6</v>
      </c>
      <c r="Q896" s="239"/>
      <c r="R896" s="239"/>
      <c r="S896" s="239"/>
      <c r="T896" s="301"/>
      <c r="U896" s="235"/>
      <c r="V896" s="240"/>
      <c r="W896" s="240"/>
      <c r="X896" s="240"/>
      <c r="Y896" s="240"/>
      <c r="Z896" s="302"/>
      <c r="AA896" s="302"/>
      <c r="AB896" s="241"/>
      <c r="AC896" s="242"/>
      <c r="AD896" s="312"/>
      <c r="AE896" s="302"/>
      <c r="AF896" s="302"/>
      <c r="AG896" s="240"/>
      <c r="AH896" s="240"/>
      <c r="AI896" s="240"/>
      <c r="AJ896" s="240"/>
      <c r="AK896" s="406"/>
      <c r="AL896" s="244"/>
      <c r="AM896" s="236"/>
      <c r="AN896" s="472"/>
    </row>
    <row r="897" spans="1:40" s="321" customFormat="1" ht="19.5" customHeight="1">
      <c r="A897" s="232"/>
      <c r="B897" s="231" t="s">
        <v>781</v>
      </c>
      <c r="C897" s="250" t="s">
        <v>1058</v>
      </c>
      <c r="D897" s="319"/>
      <c r="E897" s="300"/>
      <c r="F897" s="235"/>
      <c r="G897" s="236"/>
      <c r="H897" s="318"/>
      <c r="I897" s="237"/>
      <c r="J897" s="477"/>
      <c r="K897" s="237"/>
      <c r="L897" s="237"/>
      <c r="M897" s="237"/>
      <c r="N897" s="239">
        <f t="shared" si="321"/>
        <v>2983.38</v>
      </c>
      <c r="O897" s="239"/>
      <c r="P897" s="239">
        <v>2983.38</v>
      </c>
      <c r="Q897" s="239"/>
      <c r="R897" s="239"/>
      <c r="S897" s="239"/>
      <c r="T897" s="301"/>
      <c r="U897" s="235"/>
      <c r="V897" s="240"/>
      <c r="W897" s="240"/>
      <c r="X897" s="240"/>
      <c r="Y897" s="240"/>
      <c r="Z897" s="302"/>
      <c r="AA897" s="302"/>
      <c r="AB897" s="241"/>
      <c r="AC897" s="242"/>
      <c r="AD897" s="312"/>
      <c r="AE897" s="302"/>
      <c r="AF897" s="302"/>
      <c r="AG897" s="240"/>
      <c r="AH897" s="240"/>
      <c r="AI897" s="240"/>
      <c r="AJ897" s="240"/>
      <c r="AK897" s="406"/>
      <c r="AL897" s="244"/>
      <c r="AM897" s="236"/>
      <c r="AN897" s="472"/>
    </row>
    <row r="898" spans="1:40" s="321" customFormat="1" ht="19.5" customHeight="1">
      <c r="A898" s="232"/>
      <c r="B898" s="231" t="s">
        <v>782</v>
      </c>
      <c r="C898" s="250" t="s">
        <v>1355</v>
      </c>
      <c r="D898" s="319"/>
      <c r="E898" s="300"/>
      <c r="F898" s="235"/>
      <c r="G898" s="236"/>
      <c r="H898" s="318"/>
      <c r="I898" s="237"/>
      <c r="J898" s="477"/>
      <c r="K898" s="237"/>
      <c r="L898" s="237"/>
      <c r="M898" s="237"/>
      <c r="N898" s="239">
        <f t="shared" si="321"/>
        <v>200.76</v>
      </c>
      <c r="O898" s="239"/>
      <c r="P898" s="239">
        <v>200.76</v>
      </c>
      <c r="Q898" s="239"/>
      <c r="R898" s="239"/>
      <c r="S898" s="239"/>
      <c r="T898" s="301"/>
      <c r="U898" s="235"/>
      <c r="V898" s="240"/>
      <c r="W898" s="240"/>
      <c r="X898" s="240"/>
      <c r="Y898" s="240"/>
      <c r="Z898" s="302"/>
      <c r="AA898" s="302"/>
      <c r="AB898" s="241"/>
      <c r="AC898" s="242"/>
      <c r="AD898" s="312"/>
      <c r="AE898" s="302"/>
      <c r="AF898" s="302"/>
      <c r="AG898" s="240"/>
      <c r="AH898" s="240"/>
      <c r="AI898" s="240"/>
      <c r="AJ898" s="240"/>
      <c r="AK898" s="406"/>
      <c r="AL898" s="244"/>
      <c r="AM898" s="236"/>
      <c r="AN898" s="472"/>
    </row>
    <row r="899" spans="1:40" s="321" customFormat="1" ht="19.5" customHeight="1">
      <c r="A899" s="232"/>
      <c r="B899" s="231" t="s">
        <v>783</v>
      </c>
      <c r="C899" s="250" t="s">
        <v>1634</v>
      </c>
      <c r="D899" s="319"/>
      <c r="E899" s="300"/>
      <c r="F899" s="235"/>
      <c r="G899" s="236"/>
      <c r="H899" s="318"/>
      <c r="I899" s="237"/>
      <c r="J899" s="477"/>
      <c r="K899" s="237"/>
      <c r="L899" s="237"/>
      <c r="M899" s="237"/>
      <c r="N899" s="239">
        <f t="shared" si="321"/>
        <v>2990</v>
      </c>
      <c r="O899" s="239"/>
      <c r="P899" s="239">
        <v>2990</v>
      </c>
      <c r="Q899" s="239"/>
      <c r="R899" s="239"/>
      <c r="S899" s="239"/>
      <c r="T899" s="301"/>
      <c r="U899" s="235"/>
      <c r="V899" s="240"/>
      <c r="W899" s="240"/>
      <c r="X899" s="240"/>
      <c r="Y899" s="240"/>
      <c r="Z899" s="302"/>
      <c r="AA899" s="302"/>
      <c r="AB899" s="241"/>
      <c r="AC899" s="242"/>
      <c r="AD899" s="312"/>
      <c r="AE899" s="302"/>
      <c r="AF899" s="302"/>
      <c r="AG899" s="240"/>
      <c r="AH899" s="240"/>
      <c r="AI899" s="240"/>
      <c r="AJ899" s="240"/>
      <c r="AK899" s="406"/>
      <c r="AL899" s="244"/>
      <c r="AM899" s="236"/>
      <c r="AN899" s="472"/>
    </row>
    <row r="900" spans="1:41" s="345" customFormat="1" ht="19.5" customHeight="1">
      <c r="A900" s="216">
        <v>2</v>
      </c>
      <c r="B900" s="217" t="s">
        <v>784</v>
      </c>
      <c r="C900" s="565"/>
      <c r="D900" s="566"/>
      <c r="E900" s="567"/>
      <c r="F900" s="221"/>
      <c r="G900" s="221"/>
      <c r="H900" s="221"/>
      <c r="I900" s="222">
        <f>SUM(I901:I910)</f>
        <v>15000</v>
      </c>
      <c r="J900" s="222">
        <f aca="true" t="shared" si="322" ref="J900:U900">SUM(J901:J910)</f>
        <v>0</v>
      </c>
      <c r="K900" s="222">
        <f t="shared" si="322"/>
        <v>15000</v>
      </c>
      <c r="L900" s="222">
        <f t="shared" si="322"/>
        <v>0</v>
      </c>
      <c r="M900" s="222">
        <f t="shared" si="322"/>
        <v>0</v>
      </c>
      <c r="N900" s="222">
        <f t="shared" si="322"/>
        <v>14261.0381</v>
      </c>
      <c r="O900" s="222">
        <f t="shared" si="322"/>
        <v>0</v>
      </c>
      <c r="P900" s="222">
        <f t="shared" si="322"/>
        <v>14261.0381</v>
      </c>
      <c r="Q900" s="222">
        <f t="shared" si="322"/>
        <v>14134.7981</v>
      </c>
      <c r="R900" s="222">
        <f t="shared" si="322"/>
        <v>0</v>
      </c>
      <c r="S900" s="222">
        <f t="shared" si="322"/>
        <v>0</v>
      </c>
      <c r="T900" s="222">
        <f t="shared" si="322"/>
        <v>0</v>
      </c>
      <c r="U900" s="222">
        <f t="shared" si="322"/>
        <v>0</v>
      </c>
      <c r="V900" s="223" t="e">
        <f>#REF!+#REF!</f>
        <v>#REF!</v>
      </c>
      <c r="W900" s="223" t="e">
        <f>#REF!+#REF!</f>
        <v>#REF!</v>
      </c>
      <c r="X900" s="223" t="e">
        <f>#REF!+#REF!</f>
        <v>#REF!</v>
      </c>
      <c r="Y900" s="223" t="e">
        <f>#REF!+#REF!</f>
        <v>#REF!</v>
      </c>
      <c r="Z900" s="223" t="e">
        <f>#REF!+#REF!</f>
        <v>#REF!</v>
      </c>
      <c r="AA900" s="223" t="e">
        <f>#REF!+#REF!</f>
        <v>#REF!</v>
      </c>
      <c r="AB900" s="223" t="e">
        <f>#REF!+#REF!</f>
        <v>#REF!</v>
      </c>
      <c r="AC900" s="223" t="e">
        <f>#REF!+#REF!</f>
        <v>#REF!</v>
      </c>
      <c r="AD900" s="223" t="e">
        <f>#REF!+#REF!</f>
        <v>#REF!</v>
      </c>
      <c r="AE900" s="223" t="e">
        <f>#REF!+#REF!</f>
        <v>#REF!</v>
      </c>
      <c r="AF900" s="223" t="e">
        <f>#REF!+#REF!</f>
        <v>#REF!</v>
      </c>
      <c r="AG900" s="223" t="e">
        <f>#REF!+#REF!</f>
        <v>#REF!</v>
      </c>
      <c r="AH900" s="223" t="e">
        <f>#REF!+#REF!</f>
        <v>#REF!</v>
      </c>
      <c r="AI900" s="223" t="e">
        <f>#REF!+#REF!</f>
        <v>#REF!</v>
      </c>
      <c r="AJ900" s="223" t="e">
        <f>#REF!+#REF!</f>
        <v>#REF!</v>
      </c>
      <c r="AK900" s="223" t="e">
        <f>#REF!+#REF!</f>
        <v>#REF!</v>
      </c>
      <c r="AL900" s="221" t="e">
        <f>#REF!+#REF!</f>
        <v>#REF!</v>
      </c>
      <c r="AM900" s="221" t="e">
        <f>#REF!+#REF!</f>
        <v>#REF!</v>
      </c>
      <c r="AN900" s="196"/>
      <c r="AO900" s="196"/>
    </row>
    <row r="901" spans="1:41" ht="19.5" customHeight="1">
      <c r="A901" s="230"/>
      <c r="B901" s="231" t="s">
        <v>785</v>
      </c>
      <c r="C901" s="232" t="s">
        <v>1341</v>
      </c>
      <c r="D901" s="233">
        <v>2015</v>
      </c>
      <c r="E901" s="234"/>
      <c r="F901" s="236">
        <v>5300</v>
      </c>
      <c r="G901" s="236"/>
      <c r="H901" s="236"/>
      <c r="I901" s="237">
        <f aca="true" t="shared" si="323" ref="I901:I908">K901+M901</f>
        <v>1850</v>
      </c>
      <c r="J901" s="238"/>
      <c r="K901" s="237">
        <v>1850</v>
      </c>
      <c r="L901" s="237"/>
      <c r="M901" s="237"/>
      <c r="N901" s="239">
        <f t="shared" si="321"/>
        <v>1803.306</v>
      </c>
      <c r="O901" s="239"/>
      <c r="P901" s="239">
        <f aca="true" t="shared" si="324" ref="P901:P908">SUM(Q901:S901)</f>
        <v>1803.306</v>
      </c>
      <c r="Q901" s="239">
        <v>1803.306</v>
      </c>
      <c r="R901" s="239">
        <v>0</v>
      </c>
      <c r="S901" s="239">
        <v>0</v>
      </c>
      <c r="T901" s="301"/>
      <c r="U901" s="235"/>
      <c r="V901" s="240">
        <f aca="true" t="shared" si="325" ref="V901:V908">W901+X901</f>
        <v>0</v>
      </c>
      <c r="W901" s="240"/>
      <c r="X901" s="240"/>
      <c r="Y901" s="240">
        <v>1850000000</v>
      </c>
      <c r="Z901" s="302"/>
      <c r="AA901" s="302"/>
      <c r="AB901" s="241">
        <f aca="true" t="shared" si="326" ref="AB901:AB908">Y901+Z901-AA901+X901</f>
        <v>1850000000</v>
      </c>
      <c r="AC901" s="242">
        <f aca="true" t="shared" si="327" ref="AC901:AC908">AD901+AE901+AF901</f>
        <v>1803306000</v>
      </c>
      <c r="AD901" s="312">
        <v>1803306000</v>
      </c>
      <c r="AE901" s="302"/>
      <c r="AF901" s="302"/>
      <c r="AG901" s="240"/>
      <c r="AH901" s="240">
        <f aca="true" t="shared" si="328" ref="AH901:AH908">AI901+AL901</f>
        <v>46694000</v>
      </c>
      <c r="AI901" s="240">
        <f aca="true" t="shared" si="329" ref="AI901:AI908">SUM(AJ901:AK901)</f>
        <v>46694000</v>
      </c>
      <c r="AJ901" s="240">
        <f aca="true" t="shared" si="330" ref="AJ901:AJ908">W901-AF901-AG901</f>
        <v>0</v>
      </c>
      <c r="AK901" s="406">
        <v>46694000</v>
      </c>
      <c r="AL901" s="244"/>
      <c r="AM901" s="236">
        <f aca="true" t="shared" si="331" ref="AM901:AM908">AB901-AD901-AE901-AK901-AL901</f>
        <v>0</v>
      </c>
      <c r="AN901" s="185" t="s">
        <v>786</v>
      </c>
      <c r="AO901" s="185"/>
    </row>
    <row r="902" spans="1:41" ht="19.5" customHeight="1">
      <c r="A902" s="230"/>
      <c r="B902" s="231" t="s">
        <v>787</v>
      </c>
      <c r="C902" s="232" t="s">
        <v>1341</v>
      </c>
      <c r="D902" s="233">
        <v>2015</v>
      </c>
      <c r="E902" s="234"/>
      <c r="F902" s="236">
        <v>4650</v>
      </c>
      <c r="G902" s="236"/>
      <c r="H902" s="236"/>
      <c r="I902" s="237">
        <f t="shared" si="323"/>
        <v>1630</v>
      </c>
      <c r="J902" s="238"/>
      <c r="K902" s="237">
        <v>1630</v>
      </c>
      <c r="L902" s="237"/>
      <c r="M902" s="237"/>
      <c r="N902" s="239">
        <f t="shared" si="321"/>
        <v>1588.8573</v>
      </c>
      <c r="O902" s="239"/>
      <c r="P902" s="239">
        <f t="shared" si="324"/>
        <v>1588.8573</v>
      </c>
      <c r="Q902" s="239">
        <v>1588.8573</v>
      </c>
      <c r="R902" s="239">
        <v>0</v>
      </c>
      <c r="S902" s="239">
        <v>0</v>
      </c>
      <c r="T902" s="301"/>
      <c r="U902" s="235"/>
      <c r="V902" s="240">
        <f t="shared" si="325"/>
        <v>0</v>
      </c>
      <c r="W902" s="240"/>
      <c r="X902" s="240"/>
      <c r="Y902" s="240">
        <v>1630000000</v>
      </c>
      <c r="Z902" s="302"/>
      <c r="AA902" s="302"/>
      <c r="AB902" s="241">
        <f t="shared" si="326"/>
        <v>1630000000</v>
      </c>
      <c r="AC902" s="242">
        <f t="shared" si="327"/>
        <v>1588857300</v>
      </c>
      <c r="AD902" s="312">
        <v>1588857300</v>
      </c>
      <c r="AE902" s="302"/>
      <c r="AF902" s="302"/>
      <c r="AG902" s="240"/>
      <c r="AH902" s="240">
        <f t="shared" si="328"/>
        <v>41141000</v>
      </c>
      <c r="AI902" s="240">
        <f t="shared" si="329"/>
        <v>41141000</v>
      </c>
      <c r="AJ902" s="240">
        <f t="shared" si="330"/>
        <v>0</v>
      </c>
      <c r="AK902" s="406">
        <v>41141000</v>
      </c>
      <c r="AL902" s="244"/>
      <c r="AM902" s="236">
        <f t="shared" si="331"/>
        <v>1700</v>
      </c>
      <c r="AN902" s="185" t="s">
        <v>786</v>
      </c>
      <c r="AO902" s="185"/>
    </row>
    <row r="903" spans="1:41" ht="19.5" customHeight="1">
      <c r="A903" s="230"/>
      <c r="B903" s="231" t="s">
        <v>788</v>
      </c>
      <c r="C903" s="232" t="s">
        <v>1341</v>
      </c>
      <c r="D903" s="233">
        <v>2013</v>
      </c>
      <c r="E903" s="234"/>
      <c r="F903" s="236">
        <v>4650</v>
      </c>
      <c r="G903" s="236">
        <v>1500</v>
      </c>
      <c r="H903" s="236">
        <v>3114</v>
      </c>
      <c r="I903" s="237">
        <f t="shared" si="323"/>
        <v>800</v>
      </c>
      <c r="J903" s="238"/>
      <c r="K903" s="237">
        <v>800</v>
      </c>
      <c r="L903" s="237"/>
      <c r="M903" s="237"/>
      <c r="N903" s="239">
        <f t="shared" si="321"/>
        <v>726.749</v>
      </c>
      <c r="O903" s="239"/>
      <c r="P903" s="239">
        <f t="shared" si="324"/>
        <v>726.749</v>
      </c>
      <c r="Q903" s="239">
        <v>726.749</v>
      </c>
      <c r="R903" s="239">
        <v>0</v>
      </c>
      <c r="S903" s="239">
        <v>0</v>
      </c>
      <c r="T903" s="301"/>
      <c r="U903" s="235"/>
      <c r="V903" s="240">
        <f t="shared" si="325"/>
        <v>0</v>
      </c>
      <c r="W903" s="240"/>
      <c r="X903" s="240"/>
      <c r="Y903" s="240">
        <v>800000000</v>
      </c>
      <c r="Z903" s="302"/>
      <c r="AA903" s="302">
        <v>73251000</v>
      </c>
      <c r="AB903" s="241">
        <f t="shared" si="326"/>
        <v>726749000</v>
      </c>
      <c r="AC903" s="242">
        <f t="shared" si="327"/>
        <v>726749000</v>
      </c>
      <c r="AD903" s="259">
        <v>726749000</v>
      </c>
      <c r="AE903" s="302"/>
      <c r="AF903" s="302"/>
      <c r="AG903" s="240"/>
      <c r="AH903" s="240">
        <f t="shared" si="328"/>
        <v>0</v>
      </c>
      <c r="AI903" s="240">
        <f t="shared" si="329"/>
        <v>0</v>
      </c>
      <c r="AJ903" s="240">
        <f t="shared" si="330"/>
        <v>0</v>
      </c>
      <c r="AK903" s="466"/>
      <c r="AL903" s="244"/>
      <c r="AM903" s="236">
        <f t="shared" si="331"/>
        <v>0</v>
      </c>
      <c r="AN903" s="185" t="s">
        <v>789</v>
      </c>
      <c r="AO903" s="185"/>
    </row>
    <row r="904" spans="1:41" ht="19.5" customHeight="1">
      <c r="A904" s="230"/>
      <c r="B904" s="231" t="s">
        <v>790</v>
      </c>
      <c r="C904" s="232" t="s">
        <v>1341</v>
      </c>
      <c r="D904" s="233"/>
      <c r="E904" s="234" t="s">
        <v>791</v>
      </c>
      <c r="F904" s="236">
        <v>9664</v>
      </c>
      <c r="G904" s="236">
        <v>252</v>
      </c>
      <c r="H904" s="236">
        <v>1900</v>
      </c>
      <c r="I904" s="237">
        <f t="shared" si="323"/>
        <v>2047</v>
      </c>
      <c r="J904" s="238"/>
      <c r="K904" s="237">
        <v>2047</v>
      </c>
      <c r="L904" s="237"/>
      <c r="M904" s="237"/>
      <c r="N904" s="239">
        <f t="shared" si="321"/>
        <v>1342.8858</v>
      </c>
      <c r="O904" s="239"/>
      <c r="P904" s="239">
        <f t="shared" si="324"/>
        <v>1342.8858</v>
      </c>
      <c r="Q904" s="239">
        <v>1342.8858</v>
      </c>
      <c r="R904" s="239">
        <v>0</v>
      </c>
      <c r="S904" s="239">
        <v>0</v>
      </c>
      <c r="T904" s="301"/>
      <c r="U904" s="235"/>
      <c r="V904" s="240">
        <f t="shared" si="325"/>
        <v>0</v>
      </c>
      <c r="W904" s="240"/>
      <c r="X904" s="240"/>
      <c r="Y904" s="240">
        <v>2047000000</v>
      </c>
      <c r="Z904" s="302">
        <v>73251000</v>
      </c>
      <c r="AA904" s="302"/>
      <c r="AB904" s="241">
        <f t="shared" si="326"/>
        <v>2120251000</v>
      </c>
      <c r="AC904" s="242">
        <f t="shared" si="327"/>
        <v>1342885800</v>
      </c>
      <c r="AD904" s="302">
        <v>1342885800</v>
      </c>
      <c r="AE904" s="302"/>
      <c r="AF904" s="302"/>
      <c r="AG904" s="240"/>
      <c r="AH904" s="240">
        <f t="shared" si="328"/>
        <v>0</v>
      </c>
      <c r="AI904" s="240">
        <f t="shared" si="329"/>
        <v>0</v>
      </c>
      <c r="AJ904" s="240">
        <f t="shared" si="330"/>
        <v>0</v>
      </c>
      <c r="AK904" s="466"/>
      <c r="AL904" s="244"/>
      <c r="AM904" s="236">
        <f t="shared" si="331"/>
        <v>777365200</v>
      </c>
      <c r="AN904" s="185" t="s">
        <v>789</v>
      </c>
      <c r="AO904" s="185"/>
    </row>
    <row r="905" spans="1:41" ht="19.5" customHeight="1">
      <c r="A905" s="230"/>
      <c r="B905" s="231" t="s">
        <v>792</v>
      </c>
      <c r="C905" s="232" t="s">
        <v>1341</v>
      </c>
      <c r="D905" s="233"/>
      <c r="E905" s="234" t="s">
        <v>793</v>
      </c>
      <c r="F905" s="236">
        <v>14536</v>
      </c>
      <c r="G905" s="236"/>
      <c r="H905" s="236">
        <v>2100</v>
      </c>
      <c r="I905" s="237">
        <f t="shared" si="323"/>
        <v>5180</v>
      </c>
      <c r="J905" s="238"/>
      <c r="K905" s="237">
        <v>5180</v>
      </c>
      <c r="L905" s="237"/>
      <c r="M905" s="237"/>
      <c r="N905" s="239">
        <f t="shared" si="321"/>
        <v>5180</v>
      </c>
      <c r="O905" s="239"/>
      <c r="P905" s="239">
        <f t="shared" si="324"/>
        <v>5180</v>
      </c>
      <c r="Q905" s="239">
        <v>5180</v>
      </c>
      <c r="R905" s="239">
        <v>0</v>
      </c>
      <c r="S905" s="239">
        <v>0</v>
      </c>
      <c r="T905" s="301"/>
      <c r="U905" s="235"/>
      <c r="V905" s="240">
        <f t="shared" si="325"/>
        <v>0</v>
      </c>
      <c r="W905" s="240"/>
      <c r="X905" s="240"/>
      <c r="Y905" s="240">
        <v>5180000000</v>
      </c>
      <c r="Z905" s="302"/>
      <c r="AA905" s="302"/>
      <c r="AB905" s="241">
        <f t="shared" si="326"/>
        <v>5180000000</v>
      </c>
      <c r="AC905" s="242">
        <f t="shared" si="327"/>
        <v>5180000000</v>
      </c>
      <c r="AD905" s="465">
        <v>5180000000</v>
      </c>
      <c r="AE905" s="302"/>
      <c r="AF905" s="302"/>
      <c r="AG905" s="240"/>
      <c r="AH905" s="240">
        <f t="shared" si="328"/>
        <v>0</v>
      </c>
      <c r="AI905" s="240">
        <f t="shared" si="329"/>
        <v>0</v>
      </c>
      <c r="AJ905" s="240">
        <f t="shared" si="330"/>
        <v>0</v>
      </c>
      <c r="AK905" s="466"/>
      <c r="AL905" s="244"/>
      <c r="AM905" s="236">
        <f t="shared" si="331"/>
        <v>0</v>
      </c>
      <c r="AN905" s="185" t="s">
        <v>789</v>
      </c>
      <c r="AO905" s="185"/>
    </row>
    <row r="906" spans="1:41" ht="19.5" customHeight="1">
      <c r="A906" s="230"/>
      <c r="B906" s="231" t="s">
        <v>794</v>
      </c>
      <c r="C906" s="232" t="s">
        <v>1341</v>
      </c>
      <c r="D906" s="233"/>
      <c r="E906" s="234"/>
      <c r="F906" s="236">
        <v>4800</v>
      </c>
      <c r="G906" s="236"/>
      <c r="H906" s="236">
        <v>2022</v>
      </c>
      <c r="I906" s="237">
        <f t="shared" si="323"/>
        <v>1000</v>
      </c>
      <c r="J906" s="238"/>
      <c r="K906" s="237">
        <v>1000</v>
      </c>
      <c r="L906" s="237"/>
      <c r="M906" s="237"/>
      <c r="N906" s="239">
        <f t="shared" si="321"/>
        <v>1000</v>
      </c>
      <c r="O906" s="239"/>
      <c r="P906" s="239">
        <f t="shared" si="324"/>
        <v>1000</v>
      </c>
      <c r="Q906" s="239">
        <v>1000</v>
      </c>
      <c r="R906" s="239">
        <v>0</v>
      </c>
      <c r="S906" s="239">
        <v>0</v>
      </c>
      <c r="T906" s="301"/>
      <c r="U906" s="235"/>
      <c r="V906" s="240">
        <f t="shared" si="325"/>
        <v>0</v>
      </c>
      <c r="W906" s="240"/>
      <c r="X906" s="240"/>
      <c r="Y906" s="240">
        <v>1000000000</v>
      </c>
      <c r="Z906" s="302"/>
      <c r="AA906" s="302"/>
      <c r="AB906" s="241">
        <f t="shared" si="326"/>
        <v>1000000000</v>
      </c>
      <c r="AC906" s="242">
        <f t="shared" si="327"/>
        <v>1000000000</v>
      </c>
      <c r="AD906" s="312">
        <v>1000000000</v>
      </c>
      <c r="AE906" s="302"/>
      <c r="AF906" s="302"/>
      <c r="AG906" s="240"/>
      <c r="AH906" s="240">
        <f t="shared" si="328"/>
        <v>0</v>
      </c>
      <c r="AI906" s="240">
        <f t="shared" si="329"/>
        <v>0</v>
      </c>
      <c r="AJ906" s="240">
        <f t="shared" si="330"/>
        <v>0</v>
      </c>
      <c r="AK906" s="466"/>
      <c r="AL906" s="244"/>
      <c r="AM906" s="236">
        <f t="shared" si="331"/>
        <v>0</v>
      </c>
      <c r="AN906" s="185" t="s">
        <v>786</v>
      </c>
      <c r="AO906" s="185"/>
    </row>
    <row r="907" spans="1:41" ht="19.5" customHeight="1">
      <c r="A907" s="230"/>
      <c r="B907" s="231" t="s">
        <v>795</v>
      </c>
      <c r="C907" s="232" t="s">
        <v>1341</v>
      </c>
      <c r="D907" s="233"/>
      <c r="E907" s="234"/>
      <c r="F907" s="236">
        <v>4750</v>
      </c>
      <c r="G907" s="236"/>
      <c r="H907" s="236">
        <v>2000</v>
      </c>
      <c r="I907" s="237">
        <f t="shared" si="323"/>
        <v>1020</v>
      </c>
      <c r="J907" s="238"/>
      <c r="K907" s="237">
        <v>1020</v>
      </c>
      <c r="L907" s="237"/>
      <c r="M907" s="237"/>
      <c r="N907" s="239">
        <f t="shared" si="321"/>
        <v>1020</v>
      </c>
      <c r="O907" s="239"/>
      <c r="P907" s="239">
        <f t="shared" si="324"/>
        <v>1020</v>
      </c>
      <c r="Q907" s="239">
        <v>1020</v>
      </c>
      <c r="R907" s="239">
        <v>0</v>
      </c>
      <c r="S907" s="239">
        <v>0</v>
      </c>
      <c r="T907" s="301"/>
      <c r="U907" s="235"/>
      <c r="V907" s="240">
        <f t="shared" si="325"/>
        <v>0</v>
      </c>
      <c r="W907" s="240"/>
      <c r="X907" s="240"/>
      <c r="Y907" s="240">
        <v>1020000000</v>
      </c>
      <c r="Z907" s="302"/>
      <c r="AA907" s="302"/>
      <c r="AB907" s="241">
        <f t="shared" si="326"/>
        <v>1020000000</v>
      </c>
      <c r="AC907" s="242">
        <f t="shared" si="327"/>
        <v>1020000000</v>
      </c>
      <c r="AD907" s="312">
        <v>1020000000</v>
      </c>
      <c r="AE907" s="302"/>
      <c r="AF907" s="302"/>
      <c r="AG907" s="240"/>
      <c r="AH907" s="240">
        <f t="shared" si="328"/>
        <v>0</v>
      </c>
      <c r="AI907" s="240">
        <f t="shared" si="329"/>
        <v>0</v>
      </c>
      <c r="AJ907" s="240">
        <f t="shared" si="330"/>
        <v>0</v>
      </c>
      <c r="AK907" s="466"/>
      <c r="AL907" s="244"/>
      <c r="AM907" s="236">
        <f t="shared" si="331"/>
        <v>0</v>
      </c>
      <c r="AN907" s="185" t="s">
        <v>786</v>
      </c>
      <c r="AO907" s="185"/>
    </row>
    <row r="908" spans="1:41" ht="19.5" customHeight="1">
      <c r="A908" s="230"/>
      <c r="B908" s="464" t="s">
        <v>796</v>
      </c>
      <c r="C908" s="232" t="s">
        <v>1051</v>
      </c>
      <c r="D908" s="233"/>
      <c r="E908" s="234"/>
      <c r="F908" s="236"/>
      <c r="G908" s="236"/>
      <c r="H908" s="236"/>
      <c r="I908" s="237">
        <f t="shared" si="323"/>
        <v>1473</v>
      </c>
      <c r="J908" s="238"/>
      <c r="K908" s="237">
        <v>1473</v>
      </c>
      <c r="L908" s="237"/>
      <c r="M908" s="237"/>
      <c r="N908" s="239">
        <f t="shared" si="321"/>
        <v>1473</v>
      </c>
      <c r="O908" s="239"/>
      <c r="P908" s="239">
        <f t="shared" si="324"/>
        <v>1473</v>
      </c>
      <c r="Q908" s="239">
        <v>1473</v>
      </c>
      <c r="R908" s="239">
        <v>0</v>
      </c>
      <c r="S908" s="239">
        <v>0</v>
      </c>
      <c r="T908" s="301"/>
      <c r="U908" s="235"/>
      <c r="V908" s="240">
        <f t="shared" si="325"/>
        <v>0</v>
      </c>
      <c r="W908" s="240"/>
      <c r="X908" s="240"/>
      <c r="Y908" s="240">
        <v>1473000000</v>
      </c>
      <c r="Z908" s="302"/>
      <c r="AA908" s="302"/>
      <c r="AB908" s="241">
        <f t="shared" si="326"/>
        <v>1473000000</v>
      </c>
      <c r="AC908" s="242">
        <f t="shared" si="327"/>
        <v>1473000000</v>
      </c>
      <c r="AD908" s="465">
        <v>1473000000</v>
      </c>
      <c r="AE908" s="302"/>
      <c r="AF908" s="302"/>
      <c r="AG908" s="240"/>
      <c r="AH908" s="240">
        <f t="shared" si="328"/>
        <v>0</v>
      </c>
      <c r="AI908" s="240">
        <f t="shared" si="329"/>
        <v>0</v>
      </c>
      <c r="AJ908" s="240">
        <f t="shared" si="330"/>
        <v>0</v>
      </c>
      <c r="AK908" s="466"/>
      <c r="AL908" s="244"/>
      <c r="AM908" s="236">
        <f t="shared" si="331"/>
        <v>0</v>
      </c>
      <c r="AO908" s="185"/>
    </row>
    <row r="909" spans="1:21" ht="19.5" customHeight="1">
      <c r="A909" s="230"/>
      <c r="B909" s="323" t="s">
        <v>797</v>
      </c>
      <c r="C909" s="230" t="s">
        <v>1371</v>
      </c>
      <c r="D909" s="230"/>
      <c r="E909" s="300"/>
      <c r="F909" s="569"/>
      <c r="G909" s="570"/>
      <c r="H909" s="570"/>
      <c r="I909" s="238"/>
      <c r="J909" s="238"/>
      <c r="K909" s="237"/>
      <c r="L909" s="237"/>
      <c r="M909" s="237"/>
      <c r="N909" s="239">
        <f t="shared" si="321"/>
        <v>58.16</v>
      </c>
      <c r="O909" s="301"/>
      <c r="P909" s="301">
        <v>58.16</v>
      </c>
      <c r="Q909" s="301"/>
      <c r="R909" s="301"/>
      <c r="S909" s="301"/>
      <c r="T909" s="301"/>
      <c r="U909" s="302"/>
    </row>
    <row r="910" spans="1:21" ht="19.5" customHeight="1">
      <c r="A910" s="573"/>
      <c r="B910" s="574" t="s">
        <v>798</v>
      </c>
      <c r="C910" s="573" t="s">
        <v>1353</v>
      </c>
      <c r="D910" s="573"/>
      <c r="E910" s="575"/>
      <c r="F910" s="576"/>
      <c r="G910" s="577"/>
      <c r="H910" s="577"/>
      <c r="I910" s="578"/>
      <c r="J910" s="578"/>
      <c r="K910" s="522"/>
      <c r="L910" s="522"/>
      <c r="M910" s="522"/>
      <c r="N910" s="248">
        <f t="shared" si="321"/>
        <v>68.08</v>
      </c>
      <c r="O910" s="579"/>
      <c r="P910" s="579">
        <v>68.08</v>
      </c>
      <c r="Q910" s="579"/>
      <c r="R910" s="579"/>
      <c r="S910" s="579"/>
      <c r="T910" s="579"/>
      <c r="U910" s="580"/>
    </row>
    <row r="911" spans="1:21" ht="19.5" customHeight="1">
      <c r="A911" s="581"/>
      <c r="B911" s="582"/>
      <c r="C911" s="581"/>
      <c r="D911" s="581"/>
      <c r="E911" s="583"/>
      <c r="F911" s="584"/>
      <c r="G911" s="585"/>
      <c r="H911" s="585"/>
      <c r="I911" s="586"/>
      <c r="J911" s="586"/>
      <c r="K911" s="587"/>
      <c r="L911" s="587"/>
      <c r="M911" s="587"/>
      <c r="N911" s="588"/>
      <c r="O911" s="588"/>
      <c r="P911" s="588"/>
      <c r="Q911" s="588"/>
      <c r="R911" s="588"/>
      <c r="S911" s="588"/>
      <c r="T911" s="588"/>
      <c r="U911" s="589"/>
    </row>
    <row r="923" ht="18.75" customHeight="1"/>
    <row r="924" spans="1:40" ht="12.75">
      <c r="A924" s="186"/>
      <c r="B924" s="186"/>
      <c r="C924" s="186"/>
      <c r="D924" s="186"/>
      <c r="E924" s="593"/>
      <c r="F924" s="186"/>
      <c r="G924" s="186"/>
      <c r="H924" s="186"/>
      <c r="I924" s="186"/>
      <c r="J924" s="186"/>
      <c r="K924" s="186"/>
      <c r="L924" s="186"/>
      <c r="M924" s="186"/>
      <c r="N924" s="186"/>
      <c r="O924" s="186"/>
      <c r="P924" s="186"/>
      <c r="Q924" s="186"/>
      <c r="R924" s="186"/>
      <c r="S924" s="186"/>
      <c r="T924" s="186"/>
      <c r="U924" s="186"/>
      <c r="V924" s="186"/>
      <c r="W924" s="186"/>
      <c r="X924" s="186"/>
      <c r="Y924" s="186"/>
      <c r="Z924" s="186"/>
      <c r="AA924" s="186"/>
      <c r="AB924" s="186"/>
      <c r="AC924" s="186"/>
      <c r="AD924" s="186"/>
      <c r="AE924" s="186"/>
      <c r="AF924" s="186"/>
      <c r="AG924" s="186"/>
      <c r="AH924" s="186"/>
      <c r="AI924" s="186"/>
      <c r="AJ924" s="186"/>
      <c r="AK924" s="186"/>
      <c r="AL924" s="186"/>
      <c r="AN924" s="186"/>
    </row>
    <row r="925" spans="1:40" ht="12.75">
      <c r="A925" s="186"/>
      <c r="B925" s="186"/>
      <c r="C925" s="186"/>
      <c r="D925" s="186"/>
      <c r="E925" s="593"/>
      <c r="F925" s="186"/>
      <c r="G925" s="186"/>
      <c r="H925" s="186"/>
      <c r="I925" s="186"/>
      <c r="J925" s="186"/>
      <c r="K925" s="186"/>
      <c r="L925" s="186"/>
      <c r="M925" s="186"/>
      <c r="N925" s="186"/>
      <c r="O925" s="186"/>
      <c r="P925" s="186"/>
      <c r="Q925" s="186"/>
      <c r="R925" s="186"/>
      <c r="S925" s="186"/>
      <c r="T925" s="186"/>
      <c r="U925" s="186"/>
      <c r="V925" s="186"/>
      <c r="W925" s="186"/>
      <c r="X925" s="186"/>
      <c r="Y925" s="186"/>
      <c r="Z925" s="186"/>
      <c r="AA925" s="186"/>
      <c r="AB925" s="186"/>
      <c r="AC925" s="186"/>
      <c r="AD925" s="186"/>
      <c r="AE925" s="186"/>
      <c r="AF925" s="186"/>
      <c r="AG925" s="186"/>
      <c r="AH925" s="186"/>
      <c r="AI925" s="186"/>
      <c r="AJ925" s="186"/>
      <c r="AK925" s="186"/>
      <c r="AL925" s="186"/>
      <c r="AN925" s="186"/>
    </row>
    <row r="926" spans="1:40" ht="12.75">
      <c r="A926" s="186"/>
      <c r="B926" s="186"/>
      <c r="C926" s="186"/>
      <c r="D926" s="186"/>
      <c r="E926" s="593"/>
      <c r="F926" s="186"/>
      <c r="G926" s="186"/>
      <c r="H926" s="186"/>
      <c r="I926" s="186"/>
      <c r="J926" s="186"/>
      <c r="K926" s="186"/>
      <c r="L926" s="186"/>
      <c r="M926" s="186"/>
      <c r="N926" s="186"/>
      <c r="O926" s="186"/>
      <c r="P926" s="186"/>
      <c r="Q926" s="186"/>
      <c r="R926" s="186"/>
      <c r="S926" s="186"/>
      <c r="T926" s="186"/>
      <c r="U926" s="186"/>
      <c r="V926" s="186"/>
      <c r="W926" s="186"/>
      <c r="X926" s="186"/>
      <c r="Y926" s="186"/>
      <c r="Z926" s="186"/>
      <c r="AA926" s="186"/>
      <c r="AB926" s="186"/>
      <c r="AC926" s="186"/>
      <c r="AD926" s="186"/>
      <c r="AE926" s="186"/>
      <c r="AF926" s="186"/>
      <c r="AG926" s="186"/>
      <c r="AH926" s="186"/>
      <c r="AI926" s="186"/>
      <c r="AJ926" s="186"/>
      <c r="AK926" s="186"/>
      <c r="AL926" s="186"/>
      <c r="AN926" s="186"/>
    </row>
    <row r="927" spans="1:40" ht="12.75">
      <c r="A927" s="186"/>
      <c r="B927" s="186"/>
      <c r="C927" s="186"/>
      <c r="D927" s="186"/>
      <c r="E927" s="593"/>
      <c r="F927" s="186"/>
      <c r="G927" s="186"/>
      <c r="H927" s="186"/>
      <c r="I927" s="186"/>
      <c r="J927" s="186"/>
      <c r="K927" s="186"/>
      <c r="L927" s="186"/>
      <c r="M927" s="186"/>
      <c r="N927" s="186"/>
      <c r="O927" s="186"/>
      <c r="P927" s="186"/>
      <c r="Q927" s="186"/>
      <c r="R927" s="186"/>
      <c r="S927" s="186"/>
      <c r="T927" s="186"/>
      <c r="U927" s="186"/>
      <c r="V927" s="186"/>
      <c r="W927" s="186"/>
      <c r="X927" s="186"/>
      <c r="Y927" s="186"/>
      <c r="Z927" s="186"/>
      <c r="AA927" s="186"/>
      <c r="AB927" s="186"/>
      <c r="AC927" s="186"/>
      <c r="AD927" s="186"/>
      <c r="AE927" s="186"/>
      <c r="AF927" s="186"/>
      <c r="AG927" s="186"/>
      <c r="AH927" s="186"/>
      <c r="AI927" s="186"/>
      <c r="AJ927" s="186"/>
      <c r="AK927" s="186"/>
      <c r="AL927" s="186"/>
      <c r="AN927" s="186"/>
    </row>
    <row r="928" spans="1:40" ht="12.75">
      <c r="A928" s="186"/>
      <c r="B928" s="186"/>
      <c r="C928" s="186"/>
      <c r="D928" s="186"/>
      <c r="E928" s="593"/>
      <c r="F928" s="186"/>
      <c r="G928" s="186"/>
      <c r="H928" s="186"/>
      <c r="I928" s="186"/>
      <c r="J928" s="186"/>
      <c r="K928" s="186"/>
      <c r="L928" s="186"/>
      <c r="M928" s="186"/>
      <c r="N928" s="186"/>
      <c r="O928" s="186"/>
      <c r="P928" s="186"/>
      <c r="Q928" s="186"/>
      <c r="R928" s="186"/>
      <c r="S928" s="186"/>
      <c r="T928" s="186"/>
      <c r="U928" s="186"/>
      <c r="V928" s="186"/>
      <c r="W928" s="186"/>
      <c r="X928" s="186"/>
      <c r="Y928" s="186"/>
      <c r="Z928" s="186"/>
      <c r="AA928" s="186"/>
      <c r="AB928" s="186"/>
      <c r="AC928" s="186"/>
      <c r="AD928" s="186"/>
      <c r="AE928" s="186"/>
      <c r="AF928" s="186"/>
      <c r="AG928" s="186"/>
      <c r="AH928" s="186"/>
      <c r="AI928" s="186"/>
      <c r="AJ928" s="186"/>
      <c r="AK928" s="186"/>
      <c r="AL928" s="186"/>
      <c r="AN928" s="186"/>
    </row>
    <row r="929" spans="1:40" ht="12.75">
      <c r="A929" s="186"/>
      <c r="B929" s="186"/>
      <c r="C929" s="186"/>
      <c r="D929" s="186"/>
      <c r="E929" s="593"/>
      <c r="F929" s="186"/>
      <c r="G929" s="186"/>
      <c r="H929" s="186"/>
      <c r="I929" s="186"/>
      <c r="J929" s="186"/>
      <c r="K929" s="186"/>
      <c r="L929" s="186"/>
      <c r="M929" s="186"/>
      <c r="N929" s="186"/>
      <c r="O929" s="186"/>
      <c r="P929" s="186"/>
      <c r="Q929" s="186"/>
      <c r="R929" s="186"/>
      <c r="S929" s="186"/>
      <c r="T929" s="186"/>
      <c r="U929" s="186"/>
      <c r="V929" s="186"/>
      <c r="W929" s="186"/>
      <c r="X929" s="186"/>
      <c r="Y929" s="186"/>
      <c r="Z929" s="186"/>
      <c r="AA929" s="186"/>
      <c r="AB929" s="186"/>
      <c r="AC929" s="186"/>
      <c r="AD929" s="186"/>
      <c r="AE929" s="186"/>
      <c r="AF929" s="186"/>
      <c r="AG929" s="186"/>
      <c r="AH929" s="186"/>
      <c r="AI929" s="186"/>
      <c r="AJ929" s="186"/>
      <c r="AK929" s="186"/>
      <c r="AL929" s="186"/>
      <c r="AN929" s="186"/>
    </row>
    <row r="930" spans="1:40" ht="12.75">
      <c r="A930" s="186"/>
      <c r="B930" s="186"/>
      <c r="C930" s="186"/>
      <c r="D930" s="186"/>
      <c r="E930" s="593"/>
      <c r="F930" s="186"/>
      <c r="G930" s="186"/>
      <c r="H930" s="186"/>
      <c r="I930" s="186"/>
      <c r="J930" s="186"/>
      <c r="K930" s="186"/>
      <c r="L930" s="186"/>
      <c r="M930" s="186"/>
      <c r="N930" s="186"/>
      <c r="O930" s="186"/>
      <c r="P930" s="186"/>
      <c r="Q930" s="186"/>
      <c r="R930" s="186"/>
      <c r="S930" s="186"/>
      <c r="T930" s="186"/>
      <c r="U930" s="186"/>
      <c r="V930" s="186"/>
      <c r="W930" s="186"/>
      <c r="X930" s="186"/>
      <c r="Y930" s="186"/>
      <c r="Z930" s="186"/>
      <c r="AA930" s="186"/>
      <c r="AB930" s="186"/>
      <c r="AC930" s="186"/>
      <c r="AD930" s="186"/>
      <c r="AE930" s="186"/>
      <c r="AF930" s="186"/>
      <c r="AG930" s="186"/>
      <c r="AH930" s="186"/>
      <c r="AI930" s="186"/>
      <c r="AJ930" s="186"/>
      <c r="AK930" s="186"/>
      <c r="AL930" s="186"/>
      <c r="AN930" s="186"/>
    </row>
    <row r="931" spans="1:40" ht="12.75">
      <c r="A931" s="186"/>
      <c r="B931" s="186"/>
      <c r="C931" s="186"/>
      <c r="D931" s="186"/>
      <c r="E931" s="593"/>
      <c r="F931" s="186"/>
      <c r="G931" s="186"/>
      <c r="H931" s="186"/>
      <c r="I931" s="186"/>
      <c r="J931" s="186"/>
      <c r="K931" s="186"/>
      <c r="L931" s="186"/>
      <c r="M931" s="186"/>
      <c r="N931" s="186"/>
      <c r="O931" s="186"/>
      <c r="P931" s="186"/>
      <c r="Q931" s="186"/>
      <c r="R931" s="186"/>
      <c r="S931" s="186"/>
      <c r="T931" s="186"/>
      <c r="U931" s="186"/>
      <c r="V931" s="186"/>
      <c r="W931" s="186"/>
      <c r="X931" s="186"/>
      <c r="Y931" s="186"/>
      <c r="Z931" s="186"/>
      <c r="AA931" s="186"/>
      <c r="AB931" s="186"/>
      <c r="AC931" s="186"/>
      <c r="AD931" s="186"/>
      <c r="AE931" s="186"/>
      <c r="AF931" s="186"/>
      <c r="AG931" s="186"/>
      <c r="AH931" s="186"/>
      <c r="AI931" s="186"/>
      <c r="AJ931" s="186"/>
      <c r="AK931" s="186"/>
      <c r="AL931" s="186"/>
      <c r="AN931" s="186"/>
    </row>
    <row r="932" spans="1:40" ht="12.75">
      <c r="A932" s="186"/>
      <c r="B932" s="186"/>
      <c r="C932" s="186"/>
      <c r="D932" s="186"/>
      <c r="E932" s="593"/>
      <c r="F932" s="186"/>
      <c r="G932" s="186"/>
      <c r="H932" s="186"/>
      <c r="I932" s="186"/>
      <c r="J932" s="186"/>
      <c r="K932" s="186"/>
      <c r="L932" s="186"/>
      <c r="M932" s="186"/>
      <c r="N932" s="186"/>
      <c r="O932" s="186"/>
      <c r="P932" s="186"/>
      <c r="Q932" s="186"/>
      <c r="R932" s="186"/>
      <c r="S932" s="186"/>
      <c r="T932" s="186"/>
      <c r="U932" s="186"/>
      <c r="V932" s="186"/>
      <c r="W932" s="186"/>
      <c r="X932" s="186"/>
      <c r="Y932" s="186"/>
      <c r="Z932" s="186"/>
      <c r="AA932" s="186"/>
      <c r="AB932" s="186"/>
      <c r="AC932" s="186"/>
      <c r="AD932" s="186"/>
      <c r="AE932" s="186"/>
      <c r="AF932" s="186"/>
      <c r="AG932" s="186"/>
      <c r="AH932" s="186"/>
      <c r="AI932" s="186"/>
      <c r="AJ932" s="186"/>
      <c r="AK932" s="186"/>
      <c r="AL932" s="186"/>
      <c r="AN932" s="186"/>
    </row>
    <row r="933" spans="1:40" ht="12.75">
      <c r="A933" s="186"/>
      <c r="B933" s="186"/>
      <c r="C933" s="186"/>
      <c r="D933" s="186"/>
      <c r="E933" s="593"/>
      <c r="F933" s="186"/>
      <c r="G933" s="186"/>
      <c r="H933" s="186"/>
      <c r="I933" s="186"/>
      <c r="J933" s="186"/>
      <c r="K933" s="186"/>
      <c r="L933" s="186"/>
      <c r="M933" s="186"/>
      <c r="N933" s="186"/>
      <c r="O933" s="186"/>
      <c r="P933" s="186"/>
      <c r="Q933" s="186"/>
      <c r="R933" s="186"/>
      <c r="S933" s="186"/>
      <c r="T933" s="186"/>
      <c r="U933" s="186"/>
      <c r="V933" s="186"/>
      <c r="W933" s="186"/>
      <c r="X933" s="186"/>
      <c r="Y933" s="186"/>
      <c r="Z933" s="186"/>
      <c r="AA933" s="186"/>
      <c r="AB933" s="186"/>
      <c r="AC933" s="186"/>
      <c r="AD933" s="186"/>
      <c r="AE933" s="186"/>
      <c r="AF933" s="186"/>
      <c r="AG933" s="186"/>
      <c r="AH933" s="186"/>
      <c r="AI933" s="186"/>
      <c r="AJ933" s="186"/>
      <c r="AK933" s="186"/>
      <c r="AL933" s="186"/>
      <c r="AN933" s="186"/>
    </row>
    <row r="934" spans="1:40" ht="12.75">
      <c r="A934" s="186"/>
      <c r="B934" s="186"/>
      <c r="C934" s="186"/>
      <c r="D934" s="186"/>
      <c r="E934" s="593"/>
      <c r="F934" s="186"/>
      <c r="G934" s="186"/>
      <c r="H934" s="186"/>
      <c r="I934" s="186"/>
      <c r="J934" s="186"/>
      <c r="K934" s="186"/>
      <c r="L934" s="186"/>
      <c r="M934" s="186"/>
      <c r="N934" s="186"/>
      <c r="O934" s="186"/>
      <c r="P934" s="186"/>
      <c r="Q934" s="186"/>
      <c r="R934" s="186"/>
      <c r="S934" s="186"/>
      <c r="T934" s="186"/>
      <c r="U934" s="186"/>
      <c r="V934" s="186"/>
      <c r="W934" s="186"/>
      <c r="X934" s="186"/>
      <c r="Y934" s="186"/>
      <c r="Z934" s="186"/>
      <c r="AA934" s="186"/>
      <c r="AB934" s="186"/>
      <c r="AC934" s="186"/>
      <c r="AD934" s="186"/>
      <c r="AE934" s="186"/>
      <c r="AF934" s="186"/>
      <c r="AG934" s="186"/>
      <c r="AH934" s="186"/>
      <c r="AI934" s="186"/>
      <c r="AJ934" s="186"/>
      <c r="AK934" s="186"/>
      <c r="AL934" s="186"/>
      <c r="AN934" s="186"/>
    </row>
    <row r="935" spans="1:40" ht="12.75">
      <c r="A935" s="186"/>
      <c r="B935" s="186"/>
      <c r="C935" s="186"/>
      <c r="D935" s="186"/>
      <c r="E935" s="593"/>
      <c r="F935" s="186"/>
      <c r="G935" s="186"/>
      <c r="H935" s="186"/>
      <c r="I935" s="186"/>
      <c r="J935" s="186"/>
      <c r="K935" s="186"/>
      <c r="L935" s="186"/>
      <c r="M935" s="186"/>
      <c r="N935" s="186"/>
      <c r="O935" s="186"/>
      <c r="P935" s="186"/>
      <c r="Q935" s="186"/>
      <c r="R935" s="186"/>
      <c r="S935" s="186"/>
      <c r="T935" s="186"/>
      <c r="U935" s="186"/>
      <c r="V935" s="186"/>
      <c r="W935" s="186"/>
      <c r="X935" s="186"/>
      <c r="Y935" s="186"/>
      <c r="Z935" s="186"/>
      <c r="AA935" s="186"/>
      <c r="AB935" s="186"/>
      <c r="AC935" s="186"/>
      <c r="AD935" s="186"/>
      <c r="AE935" s="186"/>
      <c r="AF935" s="186"/>
      <c r="AG935" s="186"/>
      <c r="AH935" s="186"/>
      <c r="AI935" s="186"/>
      <c r="AJ935" s="186"/>
      <c r="AK935" s="186"/>
      <c r="AL935" s="186"/>
      <c r="AN935" s="186"/>
    </row>
    <row r="936" spans="1:40" ht="12.75">
      <c r="A936" s="186"/>
      <c r="B936" s="186"/>
      <c r="C936" s="186"/>
      <c r="D936" s="186"/>
      <c r="E936" s="593"/>
      <c r="F936" s="186"/>
      <c r="G936" s="186"/>
      <c r="H936" s="186"/>
      <c r="I936" s="186"/>
      <c r="J936" s="186"/>
      <c r="K936" s="186"/>
      <c r="L936" s="186"/>
      <c r="M936" s="186"/>
      <c r="N936" s="186"/>
      <c r="O936" s="186"/>
      <c r="P936" s="186"/>
      <c r="Q936" s="186"/>
      <c r="R936" s="186"/>
      <c r="S936" s="186"/>
      <c r="T936" s="186"/>
      <c r="U936" s="186"/>
      <c r="V936" s="186"/>
      <c r="W936" s="186"/>
      <c r="X936" s="186"/>
      <c r="Y936" s="186"/>
      <c r="Z936" s="186"/>
      <c r="AA936" s="186"/>
      <c r="AB936" s="186"/>
      <c r="AC936" s="186"/>
      <c r="AD936" s="186"/>
      <c r="AE936" s="186"/>
      <c r="AF936" s="186"/>
      <c r="AG936" s="186"/>
      <c r="AH936" s="186"/>
      <c r="AI936" s="186"/>
      <c r="AJ936" s="186"/>
      <c r="AK936" s="186"/>
      <c r="AL936" s="186"/>
      <c r="AN936" s="186"/>
    </row>
    <row r="937" spans="1:40" ht="12.75">
      <c r="A937" s="186"/>
      <c r="B937" s="186"/>
      <c r="C937" s="186"/>
      <c r="D937" s="186"/>
      <c r="E937" s="593"/>
      <c r="F937" s="186"/>
      <c r="G937" s="186"/>
      <c r="H937" s="186"/>
      <c r="I937" s="186"/>
      <c r="J937" s="186"/>
      <c r="K937" s="186"/>
      <c r="L937" s="186"/>
      <c r="M937" s="186"/>
      <c r="N937" s="186"/>
      <c r="O937" s="186"/>
      <c r="P937" s="186"/>
      <c r="Q937" s="186"/>
      <c r="R937" s="186"/>
      <c r="S937" s="186"/>
      <c r="T937" s="186"/>
      <c r="U937" s="186"/>
      <c r="V937" s="186"/>
      <c r="W937" s="186"/>
      <c r="X937" s="186"/>
      <c r="Y937" s="186"/>
      <c r="Z937" s="186"/>
      <c r="AA937" s="186"/>
      <c r="AB937" s="186"/>
      <c r="AC937" s="186"/>
      <c r="AD937" s="186"/>
      <c r="AE937" s="186"/>
      <c r="AF937" s="186"/>
      <c r="AG937" s="186"/>
      <c r="AH937" s="186"/>
      <c r="AI937" s="186"/>
      <c r="AJ937" s="186"/>
      <c r="AK937" s="186"/>
      <c r="AL937" s="186"/>
      <c r="AN937" s="186"/>
    </row>
    <row r="938" spans="1:40" ht="12.75">
      <c r="A938" s="186"/>
      <c r="B938" s="186"/>
      <c r="C938" s="186"/>
      <c r="D938" s="186"/>
      <c r="E938" s="593"/>
      <c r="F938" s="186"/>
      <c r="G938" s="186"/>
      <c r="H938" s="186"/>
      <c r="I938" s="186"/>
      <c r="J938" s="186"/>
      <c r="K938" s="186"/>
      <c r="L938" s="186"/>
      <c r="M938" s="186"/>
      <c r="N938" s="186"/>
      <c r="O938" s="186"/>
      <c r="P938" s="186"/>
      <c r="Q938" s="186"/>
      <c r="R938" s="186"/>
      <c r="S938" s="186"/>
      <c r="T938" s="186"/>
      <c r="U938" s="186"/>
      <c r="V938" s="186"/>
      <c r="W938" s="186"/>
      <c r="X938" s="186"/>
      <c r="Y938" s="186"/>
      <c r="Z938" s="186"/>
      <c r="AA938" s="186"/>
      <c r="AB938" s="186"/>
      <c r="AC938" s="186"/>
      <c r="AD938" s="186"/>
      <c r="AE938" s="186"/>
      <c r="AF938" s="186"/>
      <c r="AG938" s="186"/>
      <c r="AH938" s="186"/>
      <c r="AI938" s="186"/>
      <c r="AJ938" s="186"/>
      <c r="AK938" s="186"/>
      <c r="AL938" s="186"/>
      <c r="AN938" s="186"/>
    </row>
    <row r="939" spans="1:40" ht="12.75">
      <c r="A939" s="186"/>
      <c r="B939" s="186"/>
      <c r="C939" s="186"/>
      <c r="D939" s="186"/>
      <c r="E939" s="593"/>
      <c r="F939" s="186"/>
      <c r="G939" s="186"/>
      <c r="H939" s="186"/>
      <c r="I939" s="186"/>
      <c r="J939" s="186"/>
      <c r="K939" s="186"/>
      <c r="L939" s="186"/>
      <c r="M939" s="186"/>
      <c r="N939" s="186"/>
      <c r="O939" s="186"/>
      <c r="P939" s="186"/>
      <c r="Q939" s="186"/>
      <c r="R939" s="186"/>
      <c r="S939" s="186"/>
      <c r="T939" s="186"/>
      <c r="U939" s="186"/>
      <c r="V939" s="186"/>
      <c r="W939" s="186"/>
      <c r="X939" s="186"/>
      <c r="Y939" s="186"/>
      <c r="Z939" s="186"/>
      <c r="AA939" s="186"/>
      <c r="AB939" s="186"/>
      <c r="AC939" s="186"/>
      <c r="AD939" s="186"/>
      <c r="AE939" s="186"/>
      <c r="AF939" s="186"/>
      <c r="AG939" s="186"/>
      <c r="AH939" s="186"/>
      <c r="AI939" s="186"/>
      <c r="AJ939" s="186"/>
      <c r="AK939" s="186"/>
      <c r="AL939" s="186"/>
      <c r="AN939" s="186"/>
    </row>
    <row r="940" spans="1:40" ht="12.75">
      <c r="A940" s="186"/>
      <c r="B940" s="186"/>
      <c r="C940" s="186"/>
      <c r="D940" s="186"/>
      <c r="E940" s="593"/>
      <c r="F940" s="186"/>
      <c r="G940" s="186"/>
      <c r="H940" s="186"/>
      <c r="I940" s="186"/>
      <c r="J940" s="186"/>
      <c r="K940" s="186"/>
      <c r="L940" s="186"/>
      <c r="M940" s="186"/>
      <c r="N940" s="186"/>
      <c r="O940" s="186"/>
      <c r="P940" s="186"/>
      <c r="Q940" s="186"/>
      <c r="R940" s="186"/>
      <c r="S940" s="186"/>
      <c r="T940" s="186"/>
      <c r="U940" s="186"/>
      <c r="V940" s="186"/>
      <c r="W940" s="186"/>
      <c r="X940" s="186"/>
      <c r="Y940" s="186"/>
      <c r="Z940" s="186"/>
      <c r="AA940" s="186"/>
      <c r="AB940" s="186"/>
      <c r="AC940" s="186"/>
      <c r="AD940" s="186"/>
      <c r="AE940" s="186"/>
      <c r="AF940" s="186"/>
      <c r="AG940" s="186"/>
      <c r="AH940" s="186"/>
      <c r="AI940" s="186"/>
      <c r="AJ940" s="186"/>
      <c r="AK940" s="186"/>
      <c r="AL940" s="186"/>
      <c r="AN940" s="186"/>
    </row>
    <row r="941" spans="1:40" ht="12.75">
      <c r="A941" s="186"/>
      <c r="B941" s="186"/>
      <c r="C941" s="186"/>
      <c r="D941" s="186"/>
      <c r="E941" s="593"/>
      <c r="F941" s="186"/>
      <c r="G941" s="186"/>
      <c r="H941" s="186"/>
      <c r="I941" s="186"/>
      <c r="J941" s="186"/>
      <c r="K941" s="186"/>
      <c r="L941" s="186"/>
      <c r="M941" s="186"/>
      <c r="N941" s="186"/>
      <c r="O941" s="186"/>
      <c r="P941" s="186"/>
      <c r="Q941" s="186"/>
      <c r="R941" s="186"/>
      <c r="S941" s="186"/>
      <c r="T941" s="186"/>
      <c r="U941" s="186"/>
      <c r="V941" s="186"/>
      <c r="W941" s="186"/>
      <c r="X941" s="186"/>
      <c r="Y941" s="186"/>
      <c r="Z941" s="186"/>
      <c r="AA941" s="186"/>
      <c r="AB941" s="186"/>
      <c r="AC941" s="186"/>
      <c r="AD941" s="186"/>
      <c r="AE941" s="186"/>
      <c r="AF941" s="186"/>
      <c r="AG941" s="186"/>
      <c r="AH941" s="186"/>
      <c r="AI941" s="186"/>
      <c r="AJ941" s="186"/>
      <c r="AK941" s="186"/>
      <c r="AL941" s="186"/>
      <c r="AN941" s="186"/>
    </row>
    <row r="942" spans="1:40" ht="12.75">
      <c r="A942" s="186"/>
      <c r="B942" s="186"/>
      <c r="C942" s="186"/>
      <c r="D942" s="186"/>
      <c r="E942" s="593"/>
      <c r="F942" s="186"/>
      <c r="G942" s="186"/>
      <c r="H942" s="186"/>
      <c r="I942" s="186"/>
      <c r="J942" s="186"/>
      <c r="K942" s="186"/>
      <c r="L942" s="186"/>
      <c r="M942" s="186"/>
      <c r="N942" s="186"/>
      <c r="O942" s="186"/>
      <c r="P942" s="186"/>
      <c r="Q942" s="186"/>
      <c r="R942" s="186"/>
      <c r="S942" s="186"/>
      <c r="T942" s="186"/>
      <c r="U942" s="186"/>
      <c r="V942" s="186"/>
      <c r="W942" s="186"/>
      <c r="X942" s="186"/>
      <c r="Y942" s="186"/>
      <c r="Z942" s="186"/>
      <c r="AA942" s="186"/>
      <c r="AB942" s="186"/>
      <c r="AC942" s="186"/>
      <c r="AD942" s="186"/>
      <c r="AE942" s="186"/>
      <c r="AF942" s="186"/>
      <c r="AG942" s="186"/>
      <c r="AH942" s="186"/>
      <c r="AI942" s="186"/>
      <c r="AJ942" s="186"/>
      <c r="AK942" s="186"/>
      <c r="AL942" s="186"/>
      <c r="AN942" s="186"/>
    </row>
    <row r="943" spans="1:40" ht="12.75">
      <c r="A943" s="186"/>
      <c r="B943" s="186"/>
      <c r="C943" s="186"/>
      <c r="D943" s="186"/>
      <c r="E943" s="593"/>
      <c r="F943" s="186"/>
      <c r="G943" s="186"/>
      <c r="H943" s="186"/>
      <c r="I943" s="186"/>
      <c r="J943" s="186"/>
      <c r="K943" s="186"/>
      <c r="L943" s="186"/>
      <c r="M943" s="186"/>
      <c r="N943" s="186"/>
      <c r="O943" s="186"/>
      <c r="P943" s="186"/>
      <c r="Q943" s="186"/>
      <c r="R943" s="186"/>
      <c r="S943" s="186"/>
      <c r="T943" s="186"/>
      <c r="U943" s="186"/>
      <c r="V943" s="186"/>
      <c r="W943" s="186"/>
      <c r="X943" s="186"/>
      <c r="Y943" s="186"/>
      <c r="Z943" s="186"/>
      <c r="AA943" s="186"/>
      <c r="AB943" s="186"/>
      <c r="AC943" s="186"/>
      <c r="AD943" s="186"/>
      <c r="AE943" s="186"/>
      <c r="AF943" s="186"/>
      <c r="AG943" s="186"/>
      <c r="AH943" s="186"/>
      <c r="AI943" s="186"/>
      <c r="AJ943" s="186"/>
      <c r="AK943" s="186"/>
      <c r="AL943" s="186"/>
      <c r="AN943" s="186"/>
    </row>
    <row r="944" spans="1:40" ht="12.75">
      <c r="A944" s="186"/>
      <c r="B944" s="186"/>
      <c r="C944" s="186"/>
      <c r="D944" s="186"/>
      <c r="E944" s="593"/>
      <c r="F944" s="186"/>
      <c r="G944" s="186"/>
      <c r="H944" s="186"/>
      <c r="I944" s="186"/>
      <c r="J944" s="186"/>
      <c r="K944" s="186"/>
      <c r="L944" s="186"/>
      <c r="M944" s="186"/>
      <c r="N944" s="186"/>
      <c r="O944" s="186"/>
      <c r="P944" s="186"/>
      <c r="Q944" s="186"/>
      <c r="R944" s="186"/>
      <c r="S944" s="186"/>
      <c r="T944" s="186"/>
      <c r="U944" s="186"/>
      <c r="V944" s="186"/>
      <c r="W944" s="186"/>
      <c r="X944" s="186"/>
      <c r="Y944" s="186"/>
      <c r="Z944" s="186"/>
      <c r="AA944" s="186"/>
      <c r="AB944" s="186"/>
      <c r="AC944" s="186"/>
      <c r="AD944" s="186"/>
      <c r="AE944" s="186"/>
      <c r="AF944" s="186"/>
      <c r="AG944" s="186"/>
      <c r="AH944" s="186"/>
      <c r="AI944" s="186"/>
      <c r="AJ944" s="186"/>
      <c r="AK944" s="186"/>
      <c r="AL944" s="186"/>
      <c r="AN944" s="186"/>
    </row>
    <row r="945" spans="1:40" ht="12.75">
      <c r="A945" s="186"/>
      <c r="B945" s="186"/>
      <c r="C945" s="186"/>
      <c r="D945" s="186"/>
      <c r="E945" s="593"/>
      <c r="F945" s="186"/>
      <c r="G945" s="186"/>
      <c r="H945" s="186"/>
      <c r="I945" s="186"/>
      <c r="J945" s="186"/>
      <c r="K945" s="186"/>
      <c r="L945" s="186"/>
      <c r="M945" s="186"/>
      <c r="N945" s="186"/>
      <c r="O945" s="186"/>
      <c r="P945" s="186"/>
      <c r="Q945" s="186"/>
      <c r="R945" s="186"/>
      <c r="S945" s="186"/>
      <c r="T945" s="186"/>
      <c r="U945" s="186"/>
      <c r="V945" s="186"/>
      <c r="W945" s="186"/>
      <c r="X945" s="186"/>
      <c r="Y945" s="186"/>
      <c r="Z945" s="186"/>
      <c r="AA945" s="186"/>
      <c r="AB945" s="186"/>
      <c r="AC945" s="186"/>
      <c r="AD945" s="186"/>
      <c r="AE945" s="186"/>
      <c r="AF945" s="186"/>
      <c r="AG945" s="186"/>
      <c r="AH945" s="186"/>
      <c r="AI945" s="186"/>
      <c r="AJ945" s="186"/>
      <c r="AK945" s="186"/>
      <c r="AL945" s="186"/>
      <c r="AN945" s="186"/>
    </row>
    <row r="946" spans="1:40" ht="12.75">
      <c r="A946" s="186"/>
      <c r="B946" s="186"/>
      <c r="C946" s="186"/>
      <c r="D946" s="186"/>
      <c r="E946" s="593"/>
      <c r="F946" s="186"/>
      <c r="G946" s="186"/>
      <c r="H946" s="186"/>
      <c r="I946" s="186"/>
      <c r="J946" s="186"/>
      <c r="K946" s="186"/>
      <c r="L946" s="186"/>
      <c r="M946" s="186"/>
      <c r="N946" s="186"/>
      <c r="O946" s="186"/>
      <c r="P946" s="186"/>
      <c r="Q946" s="186"/>
      <c r="R946" s="186"/>
      <c r="S946" s="186"/>
      <c r="T946" s="186"/>
      <c r="U946" s="186"/>
      <c r="V946" s="186"/>
      <c r="W946" s="186"/>
      <c r="X946" s="186"/>
      <c r="Y946" s="186"/>
      <c r="Z946" s="186"/>
      <c r="AA946" s="186"/>
      <c r="AB946" s="186"/>
      <c r="AC946" s="186"/>
      <c r="AD946" s="186"/>
      <c r="AE946" s="186"/>
      <c r="AF946" s="186"/>
      <c r="AG946" s="186"/>
      <c r="AH946" s="186"/>
      <c r="AI946" s="186"/>
      <c r="AJ946" s="186"/>
      <c r="AK946" s="186"/>
      <c r="AL946" s="186"/>
      <c r="AN946" s="186"/>
    </row>
    <row r="947" spans="1:40" ht="12.75">
      <c r="A947" s="186"/>
      <c r="B947" s="186"/>
      <c r="C947" s="186"/>
      <c r="D947" s="186"/>
      <c r="E947" s="593"/>
      <c r="F947" s="186"/>
      <c r="G947" s="186"/>
      <c r="H947" s="186"/>
      <c r="I947" s="186"/>
      <c r="J947" s="186"/>
      <c r="K947" s="186"/>
      <c r="L947" s="186"/>
      <c r="M947" s="186"/>
      <c r="N947" s="186"/>
      <c r="O947" s="186"/>
      <c r="P947" s="186"/>
      <c r="Q947" s="186"/>
      <c r="R947" s="186"/>
      <c r="S947" s="186"/>
      <c r="T947" s="186"/>
      <c r="U947" s="186"/>
      <c r="V947" s="186"/>
      <c r="W947" s="186"/>
      <c r="X947" s="186"/>
      <c r="Y947" s="186"/>
      <c r="Z947" s="186"/>
      <c r="AA947" s="186"/>
      <c r="AB947" s="186"/>
      <c r="AC947" s="186"/>
      <c r="AD947" s="186"/>
      <c r="AE947" s="186"/>
      <c r="AF947" s="186"/>
      <c r="AG947" s="186"/>
      <c r="AH947" s="186"/>
      <c r="AI947" s="186"/>
      <c r="AJ947" s="186"/>
      <c r="AK947" s="186"/>
      <c r="AL947" s="186"/>
      <c r="AN947" s="186"/>
    </row>
    <row r="948" spans="1:40" ht="12.75">
      <c r="A948" s="186"/>
      <c r="B948" s="186"/>
      <c r="C948" s="186"/>
      <c r="D948" s="186"/>
      <c r="E948" s="593"/>
      <c r="F948" s="186"/>
      <c r="G948" s="186"/>
      <c r="H948" s="186"/>
      <c r="I948" s="186"/>
      <c r="J948" s="186"/>
      <c r="K948" s="186"/>
      <c r="L948" s="186"/>
      <c r="M948" s="186"/>
      <c r="N948" s="186"/>
      <c r="O948" s="186"/>
      <c r="P948" s="186"/>
      <c r="Q948" s="186"/>
      <c r="R948" s="186"/>
      <c r="S948" s="186"/>
      <c r="T948" s="186"/>
      <c r="U948" s="186"/>
      <c r="V948" s="186"/>
      <c r="W948" s="186"/>
      <c r="X948" s="186"/>
      <c r="Y948" s="186"/>
      <c r="Z948" s="186"/>
      <c r="AA948" s="186"/>
      <c r="AB948" s="186"/>
      <c r="AC948" s="186"/>
      <c r="AD948" s="186"/>
      <c r="AE948" s="186"/>
      <c r="AF948" s="186"/>
      <c r="AG948" s="186"/>
      <c r="AH948" s="186"/>
      <c r="AI948" s="186"/>
      <c r="AJ948" s="186"/>
      <c r="AK948" s="186"/>
      <c r="AL948" s="186"/>
      <c r="AN948" s="186"/>
    </row>
    <row r="949" spans="1:40" ht="12.75">
      <c r="A949" s="186"/>
      <c r="B949" s="186"/>
      <c r="C949" s="186"/>
      <c r="D949" s="186"/>
      <c r="E949" s="593"/>
      <c r="F949" s="186"/>
      <c r="G949" s="186"/>
      <c r="H949" s="186"/>
      <c r="I949" s="186"/>
      <c r="J949" s="186"/>
      <c r="K949" s="186"/>
      <c r="L949" s="186"/>
      <c r="M949" s="186"/>
      <c r="N949" s="186"/>
      <c r="O949" s="186"/>
      <c r="P949" s="186"/>
      <c r="Q949" s="186"/>
      <c r="R949" s="186"/>
      <c r="S949" s="186"/>
      <c r="T949" s="186"/>
      <c r="U949" s="186"/>
      <c r="V949" s="186"/>
      <c r="W949" s="186"/>
      <c r="X949" s="186"/>
      <c r="Y949" s="186"/>
      <c r="Z949" s="186"/>
      <c r="AA949" s="186"/>
      <c r="AB949" s="186"/>
      <c r="AC949" s="186"/>
      <c r="AD949" s="186"/>
      <c r="AE949" s="186"/>
      <c r="AF949" s="186"/>
      <c r="AG949" s="186"/>
      <c r="AH949" s="186"/>
      <c r="AI949" s="186"/>
      <c r="AJ949" s="186"/>
      <c r="AK949" s="186"/>
      <c r="AL949" s="186"/>
      <c r="AN949" s="186"/>
    </row>
    <row r="950" spans="1:40" ht="12.75">
      <c r="A950" s="186"/>
      <c r="B950" s="186"/>
      <c r="C950" s="186"/>
      <c r="D950" s="186"/>
      <c r="E950" s="593"/>
      <c r="F950" s="186"/>
      <c r="G950" s="186"/>
      <c r="H950" s="186"/>
      <c r="I950" s="186"/>
      <c r="J950" s="186"/>
      <c r="K950" s="186"/>
      <c r="L950" s="186"/>
      <c r="M950" s="186"/>
      <c r="N950" s="186"/>
      <c r="O950" s="186"/>
      <c r="P950" s="186"/>
      <c r="Q950" s="186"/>
      <c r="R950" s="186"/>
      <c r="S950" s="186"/>
      <c r="T950" s="186"/>
      <c r="U950" s="186"/>
      <c r="V950" s="186"/>
      <c r="W950" s="186"/>
      <c r="X950" s="186"/>
      <c r="Y950" s="186"/>
      <c r="Z950" s="186"/>
      <c r="AA950" s="186"/>
      <c r="AB950" s="186"/>
      <c r="AC950" s="186"/>
      <c r="AD950" s="186"/>
      <c r="AE950" s="186"/>
      <c r="AF950" s="186"/>
      <c r="AG950" s="186"/>
      <c r="AH950" s="186"/>
      <c r="AI950" s="186"/>
      <c r="AJ950" s="186"/>
      <c r="AK950" s="186"/>
      <c r="AL950" s="186"/>
      <c r="AN950" s="186"/>
    </row>
    <row r="951" spans="1:40" ht="12.75">
      <c r="A951" s="186"/>
      <c r="B951" s="186"/>
      <c r="C951" s="186"/>
      <c r="D951" s="186"/>
      <c r="E951" s="593"/>
      <c r="F951" s="186"/>
      <c r="G951" s="186"/>
      <c r="H951" s="186"/>
      <c r="I951" s="186"/>
      <c r="J951" s="186"/>
      <c r="K951" s="186"/>
      <c r="L951" s="186"/>
      <c r="M951" s="186"/>
      <c r="N951" s="186"/>
      <c r="O951" s="186"/>
      <c r="P951" s="186"/>
      <c r="Q951" s="186"/>
      <c r="R951" s="186"/>
      <c r="S951" s="186"/>
      <c r="T951" s="186"/>
      <c r="U951" s="186"/>
      <c r="V951" s="186"/>
      <c r="W951" s="186"/>
      <c r="X951" s="186"/>
      <c r="Y951" s="186"/>
      <c r="Z951" s="186"/>
      <c r="AA951" s="186"/>
      <c r="AB951" s="186"/>
      <c r="AC951" s="186"/>
      <c r="AD951" s="186"/>
      <c r="AE951" s="186"/>
      <c r="AF951" s="186"/>
      <c r="AG951" s="186"/>
      <c r="AH951" s="186"/>
      <c r="AI951" s="186"/>
      <c r="AJ951" s="186"/>
      <c r="AK951" s="186"/>
      <c r="AL951" s="186"/>
      <c r="AN951" s="186"/>
    </row>
    <row r="952" spans="1:40" ht="12.75">
      <c r="A952" s="186"/>
      <c r="B952" s="186"/>
      <c r="C952" s="186"/>
      <c r="D952" s="186"/>
      <c r="E952" s="593"/>
      <c r="F952" s="186"/>
      <c r="G952" s="186"/>
      <c r="H952" s="186"/>
      <c r="I952" s="186"/>
      <c r="J952" s="186"/>
      <c r="K952" s="186"/>
      <c r="L952" s="186"/>
      <c r="M952" s="186"/>
      <c r="N952" s="186"/>
      <c r="O952" s="186"/>
      <c r="P952" s="186"/>
      <c r="Q952" s="186"/>
      <c r="R952" s="186"/>
      <c r="S952" s="186"/>
      <c r="T952" s="186"/>
      <c r="U952" s="186"/>
      <c r="V952" s="186"/>
      <c r="W952" s="186"/>
      <c r="X952" s="186"/>
      <c r="Y952" s="186"/>
      <c r="Z952" s="186"/>
      <c r="AA952" s="186"/>
      <c r="AB952" s="186"/>
      <c r="AC952" s="186"/>
      <c r="AD952" s="186"/>
      <c r="AE952" s="186"/>
      <c r="AF952" s="186"/>
      <c r="AG952" s="186"/>
      <c r="AH952" s="186"/>
      <c r="AI952" s="186"/>
      <c r="AJ952" s="186"/>
      <c r="AK952" s="186"/>
      <c r="AL952" s="186"/>
      <c r="AN952" s="186"/>
    </row>
    <row r="953" spans="1:40" ht="12.75">
      <c r="A953" s="186"/>
      <c r="B953" s="186"/>
      <c r="C953" s="186"/>
      <c r="D953" s="186"/>
      <c r="E953" s="593"/>
      <c r="F953" s="186"/>
      <c r="G953" s="186"/>
      <c r="H953" s="186"/>
      <c r="I953" s="186"/>
      <c r="J953" s="186"/>
      <c r="K953" s="186"/>
      <c r="L953" s="186"/>
      <c r="M953" s="186"/>
      <c r="N953" s="186"/>
      <c r="O953" s="186"/>
      <c r="P953" s="186"/>
      <c r="Q953" s="186"/>
      <c r="R953" s="186"/>
      <c r="S953" s="186"/>
      <c r="T953" s="186"/>
      <c r="U953" s="186"/>
      <c r="V953" s="186"/>
      <c r="W953" s="186"/>
      <c r="X953" s="186"/>
      <c r="Y953" s="186"/>
      <c r="Z953" s="186"/>
      <c r="AA953" s="186"/>
      <c r="AB953" s="186"/>
      <c r="AC953" s="186"/>
      <c r="AD953" s="186"/>
      <c r="AE953" s="186"/>
      <c r="AF953" s="186"/>
      <c r="AG953" s="186"/>
      <c r="AH953" s="186"/>
      <c r="AI953" s="186"/>
      <c r="AJ953" s="186"/>
      <c r="AK953" s="186"/>
      <c r="AL953" s="186"/>
      <c r="AN953" s="186"/>
    </row>
    <row r="954" spans="1:40" ht="12.75">
      <c r="A954" s="186"/>
      <c r="B954" s="186"/>
      <c r="C954" s="186"/>
      <c r="D954" s="186"/>
      <c r="E954" s="593"/>
      <c r="F954" s="186"/>
      <c r="G954" s="186"/>
      <c r="H954" s="186"/>
      <c r="I954" s="186"/>
      <c r="J954" s="186"/>
      <c r="K954" s="186"/>
      <c r="L954" s="186"/>
      <c r="M954" s="186"/>
      <c r="N954" s="186"/>
      <c r="O954" s="186"/>
      <c r="P954" s="186"/>
      <c r="Q954" s="186"/>
      <c r="R954" s="186"/>
      <c r="S954" s="186"/>
      <c r="T954" s="186"/>
      <c r="U954" s="186"/>
      <c r="V954" s="186"/>
      <c r="W954" s="186"/>
      <c r="X954" s="186"/>
      <c r="Y954" s="186"/>
      <c r="Z954" s="186"/>
      <c r="AA954" s="186"/>
      <c r="AB954" s="186"/>
      <c r="AC954" s="186"/>
      <c r="AD954" s="186"/>
      <c r="AE954" s="186"/>
      <c r="AF954" s="186"/>
      <c r="AG954" s="186"/>
      <c r="AH954" s="186"/>
      <c r="AI954" s="186"/>
      <c r="AJ954" s="186"/>
      <c r="AK954" s="186"/>
      <c r="AL954" s="186"/>
      <c r="AN954" s="186"/>
    </row>
    <row r="955" spans="1:40" ht="12.75">
      <c r="A955" s="186"/>
      <c r="B955" s="186"/>
      <c r="C955" s="186"/>
      <c r="D955" s="186"/>
      <c r="E955" s="593"/>
      <c r="F955" s="186"/>
      <c r="G955" s="186"/>
      <c r="H955" s="186"/>
      <c r="I955" s="186"/>
      <c r="J955" s="186"/>
      <c r="K955" s="186"/>
      <c r="L955" s="186"/>
      <c r="M955" s="186"/>
      <c r="N955" s="186"/>
      <c r="O955" s="186"/>
      <c r="P955" s="186"/>
      <c r="Q955" s="186"/>
      <c r="R955" s="186"/>
      <c r="S955" s="186"/>
      <c r="T955" s="186"/>
      <c r="U955" s="186"/>
      <c r="V955" s="186"/>
      <c r="W955" s="186"/>
      <c r="X955" s="186"/>
      <c r="Y955" s="186"/>
      <c r="Z955" s="186"/>
      <c r="AA955" s="186"/>
      <c r="AB955" s="186"/>
      <c r="AC955" s="186"/>
      <c r="AD955" s="186"/>
      <c r="AE955" s="186"/>
      <c r="AF955" s="186"/>
      <c r="AG955" s="186"/>
      <c r="AH955" s="186"/>
      <c r="AI955" s="186"/>
      <c r="AJ955" s="186"/>
      <c r="AK955" s="186"/>
      <c r="AL955" s="186"/>
      <c r="AN955" s="186"/>
    </row>
    <row r="956" spans="1:40" ht="12.75">
      <c r="A956" s="186"/>
      <c r="B956" s="186"/>
      <c r="C956" s="186"/>
      <c r="D956" s="186"/>
      <c r="E956" s="593"/>
      <c r="F956" s="186"/>
      <c r="G956" s="186"/>
      <c r="H956" s="186"/>
      <c r="I956" s="186"/>
      <c r="J956" s="186"/>
      <c r="K956" s="186"/>
      <c r="L956" s="186"/>
      <c r="M956" s="186"/>
      <c r="N956" s="186"/>
      <c r="O956" s="186"/>
      <c r="P956" s="186"/>
      <c r="Q956" s="186"/>
      <c r="R956" s="186"/>
      <c r="S956" s="186"/>
      <c r="T956" s="186"/>
      <c r="U956" s="186"/>
      <c r="V956" s="186"/>
      <c r="W956" s="186"/>
      <c r="X956" s="186"/>
      <c r="Y956" s="186"/>
      <c r="Z956" s="186"/>
      <c r="AA956" s="186"/>
      <c r="AB956" s="186"/>
      <c r="AC956" s="186"/>
      <c r="AD956" s="186"/>
      <c r="AE956" s="186"/>
      <c r="AF956" s="186"/>
      <c r="AG956" s="186"/>
      <c r="AH956" s="186"/>
      <c r="AI956" s="186"/>
      <c r="AJ956" s="186"/>
      <c r="AK956" s="186"/>
      <c r="AL956" s="186"/>
      <c r="AN956" s="186"/>
    </row>
    <row r="957" spans="1:40" ht="12.75">
      <c r="A957" s="186"/>
      <c r="B957" s="186"/>
      <c r="C957" s="186"/>
      <c r="D957" s="186"/>
      <c r="E957" s="593"/>
      <c r="F957" s="186"/>
      <c r="G957" s="186"/>
      <c r="H957" s="186"/>
      <c r="I957" s="186"/>
      <c r="J957" s="186"/>
      <c r="K957" s="186"/>
      <c r="L957" s="186"/>
      <c r="M957" s="186"/>
      <c r="N957" s="186"/>
      <c r="O957" s="186"/>
      <c r="P957" s="186"/>
      <c r="Q957" s="186"/>
      <c r="R957" s="186"/>
      <c r="S957" s="186"/>
      <c r="T957" s="186"/>
      <c r="U957" s="186"/>
      <c r="V957" s="186"/>
      <c r="W957" s="186"/>
      <c r="X957" s="186"/>
      <c r="Y957" s="186"/>
      <c r="Z957" s="186"/>
      <c r="AA957" s="186"/>
      <c r="AB957" s="186"/>
      <c r="AC957" s="186"/>
      <c r="AD957" s="186"/>
      <c r="AE957" s="186"/>
      <c r="AF957" s="186"/>
      <c r="AG957" s="186"/>
      <c r="AH957" s="186"/>
      <c r="AI957" s="186"/>
      <c r="AJ957" s="186"/>
      <c r="AK957" s="186"/>
      <c r="AL957" s="186"/>
      <c r="AN957" s="186"/>
    </row>
    <row r="958" spans="1:40" ht="12.75">
      <c r="A958" s="186"/>
      <c r="B958" s="186"/>
      <c r="C958" s="186"/>
      <c r="D958" s="186"/>
      <c r="E958" s="593"/>
      <c r="F958" s="186"/>
      <c r="G958" s="186"/>
      <c r="H958" s="186"/>
      <c r="I958" s="186"/>
      <c r="J958" s="186"/>
      <c r="K958" s="186"/>
      <c r="L958" s="186"/>
      <c r="M958" s="186"/>
      <c r="N958" s="186"/>
      <c r="O958" s="186"/>
      <c r="P958" s="186"/>
      <c r="Q958" s="186"/>
      <c r="R958" s="186"/>
      <c r="S958" s="186"/>
      <c r="T958" s="186"/>
      <c r="U958" s="186"/>
      <c r="V958" s="186"/>
      <c r="W958" s="186"/>
      <c r="X958" s="186"/>
      <c r="Y958" s="186"/>
      <c r="Z958" s="186"/>
      <c r="AA958" s="186"/>
      <c r="AB958" s="186"/>
      <c r="AC958" s="186"/>
      <c r="AD958" s="186"/>
      <c r="AE958" s="186"/>
      <c r="AF958" s="186"/>
      <c r="AG958" s="186"/>
      <c r="AH958" s="186"/>
      <c r="AI958" s="186"/>
      <c r="AJ958" s="186"/>
      <c r="AK958" s="186"/>
      <c r="AL958" s="186"/>
      <c r="AN958" s="186"/>
    </row>
    <row r="959" spans="1:40" ht="12.75">
      <c r="A959" s="186"/>
      <c r="B959" s="186"/>
      <c r="C959" s="186"/>
      <c r="D959" s="186"/>
      <c r="E959" s="593"/>
      <c r="F959" s="186"/>
      <c r="G959" s="186"/>
      <c r="H959" s="186"/>
      <c r="I959" s="186"/>
      <c r="J959" s="186"/>
      <c r="K959" s="186"/>
      <c r="L959" s="186"/>
      <c r="M959" s="186"/>
      <c r="N959" s="186"/>
      <c r="O959" s="186"/>
      <c r="P959" s="186"/>
      <c r="Q959" s="186"/>
      <c r="R959" s="186"/>
      <c r="S959" s="186"/>
      <c r="T959" s="186"/>
      <c r="U959" s="186"/>
      <c r="V959" s="186"/>
      <c r="W959" s="186"/>
      <c r="X959" s="186"/>
      <c r="Y959" s="186"/>
      <c r="Z959" s="186"/>
      <c r="AA959" s="186"/>
      <c r="AB959" s="186"/>
      <c r="AC959" s="186"/>
      <c r="AD959" s="186"/>
      <c r="AE959" s="186"/>
      <c r="AF959" s="186"/>
      <c r="AG959" s="186"/>
      <c r="AH959" s="186"/>
      <c r="AI959" s="186"/>
      <c r="AJ959" s="186"/>
      <c r="AK959" s="186"/>
      <c r="AL959" s="186"/>
      <c r="AN959" s="186"/>
    </row>
    <row r="960" spans="1:40" ht="12.75">
      <c r="A960" s="186"/>
      <c r="B960" s="186"/>
      <c r="C960" s="186"/>
      <c r="D960" s="186"/>
      <c r="E960" s="593"/>
      <c r="F960" s="186"/>
      <c r="G960" s="186"/>
      <c r="H960" s="186"/>
      <c r="I960" s="186"/>
      <c r="J960" s="186"/>
      <c r="K960" s="186"/>
      <c r="L960" s="186"/>
      <c r="M960" s="186"/>
      <c r="N960" s="186"/>
      <c r="O960" s="186"/>
      <c r="P960" s="186"/>
      <c r="Q960" s="186"/>
      <c r="R960" s="186"/>
      <c r="S960" s="186"/>
      <c r="T960" s="186"/>
      <c r="U960" s="186"/>
      <c r="V960" s="186"/>
      <c r="W960" s="186"/>
      <c r="X960" s="186"/>
      <c r="Y960" s="186"/>
      <c r="Z960" s="186"/>
      <c r="AA960" s="186"/>
      <c r="AB960" s="186"/>
      <c r="AC960" s="186"/>
      <c r="AD960" s="186"/>
      <c r="AE960" s="186"/>
      <c r="AF960" s="186"/>
      <c r="AG960" s="186"/>
      <c r="AH960" s="186"/>
      <c r="AI960" s="186"/>
      <c r="AJ960" s="186"/>
      <c r="AK960" s="186"/>
      <c r="AL960" s="186"/>
      <c r="AN960" s="186"/>
    </row>
    <row r="961" spans="1:40" ht="12.75">
      <c r="A961" s="186"/>
      <c r="B961" s="186"/>
      <c r="C961" s="186"/>
      <c r="D961" s="186"/>
      <c r="E961" s="593"/>
      <c r="F961" s="186"/>
      <c r="G961" s="186"/>
      <c r="H961" s="186"/>
      <c r="I961" s="186"/>
      <c r="J961" s="186"/>
      <c r="K961" s="186"/>
      <c r="L961" s="186"/>
      <c r="M961" s="186"/>
      <c r="N961" s="186"/>
      <c r="O961" s="186"/>
      <c r="P961" s="186"/>
      <c r="Q961" s="186"/>
      <c r="R961" s="186"/>
      <c r="S961" s="186"/>
      <c r="T961" s="186"/>
      <c r="U961" s="186"/>
      <c r="V961" s="186"/>
      <c r="W961" s="186"/>
      <c r="X961" s="186"/>
      <c r="Y961" s="186"/>
      <c r="Z961" s="186"/>
      <c r="AA961" s="186"/>
      <c r="AB961" s="186"/>
      <c r="AC961" s="186"/>
      <c r="AD961" s="186"/>
      <c r="AE961" s="186"/>
      <c r="AF961" s="186"/>
      <c r="AG961" s="186"/>
      <c r="AH961" s="186"/>
      <c r="AI961" s="186"/>
      <c r="AJ961" s="186"/>
      <c r="AK961" s="186"/>
      <c r="AL961" s="186"/>
      <c r="AN961" s="186"/>
    </row>
    <row r="962" spans="1:40" ht="12.75">
      <c r="A962" s="186"/>
      <c r="B962" s="186"/>
      <c r="C962" s="186"/>
      <c r="D962" s="186"/>
      <c r="E962" s="593"/>
      <c r="F962" s="186"/>
      <c r="G962" s="186"/>
      <c r="H962" s="186"/>
      <c r="I962" s="186"/>
      <c r="J962" s="186"/>
      <c r="K962" s="186"/>
      <c r="L962" s="186"/>
      <c r="M962" s="186"/>
      <c r="N962" s="186"/>
      <c r="O962" s="186"/>
      <c r="P962" s="186"/>
      <c r="Q962" s="186"/>
      <c r="R962" s="186"/>
      <c r="S962" s="186"/>
      <c r="T962" s="186"/>
      <c r="U962" s="186"/>
      <c r="V962" s="186"/>
      <c r="W962" s="186"/>
      <c r="X962" s="186"/>
      <c r="Y962" s="186"/>
      <c r="Z962" s="186"/>
      <c r="AA962" s="186"/>
      <c r="AB962" s="186"/>
      <c r="AC962" s="186"/>
      <c r="AD962" s="186"/>
      <c r="AE962" s="186"/>
      <c r="AF962" s="186"/>
      <c r="AG962" s="186"/>
      <c r="AH962" s="186"/>
      <c r="AI962" s="186"/>
      <c r="AJ962" s="186"/>
      <c r="AK962" s="186"/>
      <c r="AL962" s="186"/>
      <c r="AN962" s="186"/>
    </row>
    <row r="963" spans="1:40" ht="12.75">
      <c r="A963" s="186"/>
      <c r="B963" s="186"/>
      <c r="C963" s="186"/>
      <c r="D963" s="186"/>
      <c r="E963" s="593"/>
      <c r="F963" s="186"/>
      <c r="G963" s="186"/>
      <c r="H963" s="186"/>
      <c r="I963" s="186"/>
      <c r="J963" s="186"/>
      <c r="K963" s="186"/>
      <c r="L963" s="186"/>
      <c r="M963" s="186"/>
      <c r="N963" s="186"/>
      <c r="O963" s="186"/>
      <c r="P963" s="186"/>
      <c r="Q963" s="186"/>
      <c r="R963" s="186"/>
      <c r="S963" s="186"/>
      <c r="T963" s="186"/>
      <c r="U963" s="186"/>
      <c r="V963" s="186"/>
      <c r="W963" s="186"/>
      <c r="X963" s="186"/>
      <c r="Y963" s="186"/>
      <c r="Z963" s="186"/>
      <c r="AA963" s="186"/>
      <c r="AB963" s="186"/>
      <c r="AC963" s="186"/>
      <c r="AD963" s="186"/>
      <c r="AE963" s="186"/>
      <c r="AF963" s="186"/>
      <c r="AG963" s="186"/>
      <c r="AH963" s="186"/>
      <c r="AI963" s="186"/>
      <c r="AJ963" s="186"/>
      <c r="AK963" s="186"/>
      <c r="AL963" s="186"/>
      <c r="AN963" s="186"/>
    </row>
    <row r="964" spans="1:40" ht="12.75">
      <c r="A964" s="186"/>
      <c r="B964" s="186"/>
      <c r="C964" s="186"/>
      <c r="D964" s="186"/>
      <c r="E964" s="593"/>
      <c r="F964" s="186"/>
      <c r="G964" s="186"/>
      <c r="H964" s="186"/>
      <c r="I964" s="186"/>
      <c r="J964" s="186"/>
      <c r="K964" s="186"/>
      <c r="L964" s="186"/>
      <c r="M964" s="186"/>
      <c r="N964" s="186"/>
      <c r="O964" s="186"/>
      <c r="P964" s="186"/>
      <c r="Q964" s="186"/>
      <c r="R964" s="186"/>
      <c r="S964" s="186"/>
      <c r="T964" s="186"/>
      <c r="U964" s="186"/>
      <c r="V964" s="186"/>
      <c r="W964" s="186"/>
      <c r="X964" s="186"/>
      <c r="Y964" s="186"/>
      <c r="Z964" s="186"/>
      <c r="AA964" s="186"/>
      <c r="AB964" s="186"/>
      <c r="AC964" s="186"/>
      <c r="AD964" s="186"/>
      <c r="AE964" s="186"/>
      <c r="AF964" s="186"/>
      <c r="AG964" s="186"/>
      <c r="AH964" s="186"/>
      <c r="AI964" s="186"/>
      <c r="AJ964" s="186"/>
      <c r="AK964" s="186"/>
      <c r="AL964" s="186"/>
      <c r="AN964" s="186"/>
    </row>
    <row r="965" spans="1:40" ht="12.75">
      <c r="A965" s="186"/>
      <c r="B965" s="186"/>
      <c r="C965" s="186"/>
      <c r="D965" s="186"/>
      <c r="E965" s="593"/>
      <c r="F965" s="186"/>
      <c r="G965" s="186"/>
      <c r="H965" s="186"/>
      <c r="I965" s="186"/>
      <c r="J965" s="186"/>
      <c r="K965" s="186"/>
      <c r="L965" s="186"/>
      <c r="M965" s="186"/>
      <c r="N965" s="186"/>
      <c r="O965" s="186"/>
      <c r="P965" s="186"/>
      <c r="Q965" s="186"/>
      <c r="R965" s="186"/>
      <c r="S965" s="186"/>
      <c r="T965" s="186"/>
      <c r="U965" s="186"/>
      <c r="V965" s="186"/>
      <c r="W965" s="186"/>
      <c r="X965" s="186"/>
      <c r="Y965" s="186"/>
      <c r="Z965" s="186"/>
      <c r="AA965" s="186"/>
      <c r="AB965" s="186"/>
      <c r="AC965" s="186"/>
      <c r="AD965" s="186"/>
      <c r="AE965" s="186"/>
      <c r="AF965" s="186"/>
      <c r="AG965" s="186"/>
      <c r="AH965" s="186"/>
      <c r="AI965" s="186"/>
      <c r="AJ965" s="186"/>
      <c r="AK965" s="186"/>
      <c r="AL965" s="186"/>
      <c r="AN965" s="186"/>
    </row>
    <row r="966" spans="1:40" ht="12.75">
      <c r="A966" s="186"/>
      <c r="B966" s="186"/>
      <c r="C966" s="186"/>
      <c r="D966" s="186"/>
      <c r="E966" s="593"/>
      <c r="F966" s="186"/>
      <c r="G966" s="186"/>
      <c r="H966" s="186"/>
      <c r="I966" s="186"/>
      <c r="J966" s="186"/>
      <c r="K966" s="186"/>
      <c r="L966" s="186"/>
      <c r="M966" s="186"/>
      <c r="N966" s="186"/>
      <c r="O966" s="186"/>
      <c r="P966" s="186"/>
      <c r="Q966" s="186"/>
      <c r="R966" s="186"/>
      <c r="S966" s="186"/>
      <c r="T966" s="186"/>
      <c r="U966" s="186"/>
      <c r="V966" s="186"/>
      <c r="W966" s="186"/>
      <c r="X966" s="186"/>
      <c r="Y966" s="186"/>
      <c r="Z966" s="186"/>
      <c r="AA966" s="186"/>
      <c r="AB966" s="186"/>
      <c r="AC966" s="186"/>
      <c r="AD966" s="186"/>
      <c r="AE966" s="186"/>
      <c r="AF966" s="186"/>
      <c r="AG966" s="186"/>
      <c r="AH966" s="186"/>
      <c r="AI966" s="186"/>
      <c r="AJ966" s="186"/>
      <c r="AK966" s="186"/>
      <c r="AL966" s="186"/>
      <c r="AN966" s="186"/>
    </row>
  </sheetData>
  <sheetProtection/>
  <mergeCells count="37">
    <mergeCell ref="C4:C6"/>
    <mergeCell ref="AD5:AF5"/>
    <mergeCell ref="N1:U1"/>
    <mergeCell ref="I3:U3"/>
    <mergeCell ref="AH5:AH6"/>
    <mergeCell ref="AI5:AK5"/>
    <mergeCell ref="A2:AM2"/>
    <mergeCell ref="F3:H3"/>
    <mergeCell ref="AL3:AM3"/>
    <mergeCell ref="A4:A6"/>
    <mergeCell ref="B4:B6"/>
    <mergeCell ref="P5:U5"/>
    <mergeCell ref="V5:V6"/>
    <mergeCell ref="Y4:Y6"/>
    <mergeCell ref="Z4:AA5"/>
    <mergeCell ref="AL5:AL6"/>
    <mergeCell ref="AG4:AG6"/>
    <mergeCell ref="AH4:AL4"/>
    <mergeCell ref="AB4:AB6"/>
    <mergeCell ref="AC4:AF4"/>
    <mergeCell ref="AC5:AC6"/>
    <mergeCell ref="N4:U4"/>
    <mergeCell ref="V4:X4"/>
    <mergeCell ref="W5:W6"/>
    <mergeCell ref="X5:X6"/>
    <mergeCell ref="AM4:AM6"/>
    <mergeCell ref="I5:I6"/>
    <mergeCell ref="J5:J6"/>
    <mergeCell ref="K5:M5"/>
    <mergeCell ref="N5:N6"/>
    <mergeCell ref="O5:O6"/>
    <mergeCell ref="D4:D6"/>
    <mergeCell ref="E4:E6"/>
    <mergeCell ref="F4:F6"/>
    <mergeCell ref="G4:G6"/>
    <mergeCell ref="H4:H6"/>
    <mergeCell ref="I4:M4"/>
  </mergeCells>
  <printOptions/>
  <pageMargins left="0.25" right="0.25" top="0.5" bottom="0.25" header="0.5" footer="0.5"/>
  <pageSetup horizontalDpi="600" verticalDpi="600" orientation="landscape" paperSize="9" scale="6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cp:lastModifiedBy>
  <cp:lastPrinted>2016-11-21T07:30:33Z</cp:lastPrinted>
  <dcterms:created xsi:type="dcterms:W3CDTF">2016-07-18T11:41:04Z</dcterms:created>
  <dcterms:modified xsi:type="dcterms:W3CDTF">2016-11-21T07:47:56Z</dcterms:modified>
  <cp:category/>
  <cp:version/>
  <cp:contentType/>
  <cp:contentStatus/>
</cp:coreProperties>
</file>